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Questa_cartella_di_lavoro"/>
  <bookViews>
    <workbookView xWindow="0" yWindow="460" windowWidth="21520" windowHeight="12187" activeTab="1"/>
  </bookViews>
  <sheets>
    <sheet name="Dati in input" sheetId="30" r:id="rId1"/>
    <sheet name="Foglio di calcolo" sheetId="11" r:id="rId2"/>
    <sheet name="Prezzi smart adaptive lighting" sheetId="1" r:id="rId3"/>
    <sheet name="Prezzi servizi &quot;smart&quot;" sheetId="27" r:id="rId4"/>
    <sheet name="Dettaglio strade (ENEA)" sheetId="4" r:id="rId5"/>
    <sheet name="Foglio 1" sheetId="10" state="hidden" r:id="rId6"/>
  </sheets>
  <externalReferences>
    <externalReference r:id="rId7"/>
  </externalReferences>
  <definedNames>
    <definedName name="_xlnm.Print_Area" localSheetId="4">'Dettaglio strade (ENEA)'!$A$1:$AD$144</definedName>
    <definedName name="DataFineEffettiva">[1]Attivita!$H$7</definedName>
    <definedName name="DataFineObiettivo">[1]Attivita!$C$7</definedName>
    <definedName name="DataInizioObiettivo">[1]Attivita!$C$6</definedName>
    <definedName name="Frase01">[1]Calcoli!$IE$21</definedName>
    <definedName name="Frase02">[1]Calcoli!$IF$21</definedName>
    <definedName name="Frase03">[1]Calcoli!$IG$21</definedName>
    <definedName name="LOCAL_MYSQL_DATE_FORMAT" localSheetId="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manut">'Foglio 1'!$A$2:$A$3</definedName>
    <definedName name="Nome">'Prezzi smart adaptive lighting'!$B$5:$B$8</definedName>
    <definedName name="pacchetti">'Prezzi smart adaptive lighting'!$B$16:$B$20</definedName>
    <definedName name="software">'Foglio 1'!$C$2:$C$5</definedName>
  </definedNames>
  <calcPr calcId="162913" concurrentCalc="0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50" i="30" l="1"/>
  <c r="D144" i="11"/>
  <c r="D107" i="11"/>
  <c r="F33" i="1"/>
  <c r="C4" i="1"/>
  <c r="G27" i="11"/>
  <c r="D93" i="11"/>
  <c r="D89" i="11"/>
  <c r="F32" i="1"/>
  <c r="D92" i="11"/>
  <c r="F31" i="1"/>
  <c r="D91" i="11"/>
  <c r="F30" i="1"/>
  <c r="D90" i="11"/>
  <c r="F29" i="1"/>
  <c r="F28" i="1"/>
  <c r="D88" i="11"/>
  <c r="D73" i="11"/>
  <c r="L6" i="11"/>
  <c r="G94" i="11"/>
  <c r="G95" i="11"/>
  <c r="G101" i="11"/>
  <c r="I47" i="30"/>
  <c r="I30" i="30"/>
  <c r="K6" i="11"/>
  <c r="G96" i="11"/>
  <c r="G97" i="11"/>
  <c r="I70" i="30"/>
  <c r="I48" i="30"/>
  <c r="I31" i="30"/>
  <c r="D55" i="30"/>
  <c r="D54" i="30"/>
  <c r="D38" i="30"/>
  <c r="D37" i="30"/>
  <c r="H60" i="11"/>
  <c r="E132" i="11"/>
  <c r="K7" i="11"/>
  <c r="K8" i="11"/>
  <c r="L8" i="11"/>
  <c r="K9" i="11"/>
  <c r="L9" i="11"/>
  <c r="K10" i="11"/>
  <c r="K11" i="11"/>
  <c r="L11" i="11"/>
  <c r="K12" i="11"/>
  <c r="K13" i="11"/>
  <c r="L13" i="11"/>
  <c r="K14" i="11"/>
  <c r="K15" i="11"/>
  <c r="K16" i="11"/>
  <c r="K17" i="11"/>
  <c r="L17" i="11"/>
  <c r="K18" i="11"/>
  <c r="K19" i="11"/>
  <c r="K20" i="11"/>
  <c r="G88" i="11"/>
  <c r="D39" i="11"/>
  <c r="D108" i="11"/>
  <c r="D74" i="11"/>
  <c r="D17" i="27"/>
  <c r="D78" i="11"/>
  <c r="D80" i="11"/>
  <c r="D81" i="11"/>
  <c r="D82" i="11"/>
  <c r="D84" i="11"/>
  <c r="D85" i="11"/>
  <c r="E115" i="11"/>
  <c r="H45" i="11"/>
  <c r="H44" i="11"/>
  <c r="H46" i="11"/>
  <c r="H47" i="11"/>
  <c r="F33" i="11"/>
  <c r="H21" i="11"/>
  <c r="E33" i="11"/>
  <c r="F31" i="11"/>
  <c r="H48" i="11"/>
  <c r="H49" i="11"/>
  <c r="H50" i="11"/>
  <c r="D98" i="11"/>
  <c r="H51" i="11"/>
  <c r="H52" i="11"/>
  <c r="H53" i="11"/>
  <c r="H54" i="11"/>
  <c r="D103" i="11"/>
  <c r="H55" i="11"/>
  <c r="D100" i="11"/>
  <c r="H56" i="11"/>
  <c r="D101" i="11"/>
  <c r="H61" i="11"/>
  <c r="H62" i="11"/>
  <c r="H65" i="11"/>
  <c r="D102" i="11"/>
  <c r="H66" i="11"/>
  <c r="G67" i="11"/>
  <c r="G62" i="11"/>
  <c r="L12" i="11"/>
  <c r="D76" i="11"/>
  <c r="D79" i="11"/>
  <c r="L7" i="11"/>
  <c r="L10" i="11"/>
  <c r="L14" i="11"/>
  <c r="L15" i="11"/>
  <c r="L16" i="11"/>
  <c r="L18" i="11"/>
  <c r="L19" i="11"/>
  <c r="L20" i="11"/>
  <c r="G57" i="11"/>
  <c r="E6" i="11"/>
  <c r="E7" i="11"/>
  <c r="E8" i="11"/>
  <c r="E9" i="11"/>
  <c r="E10" i="11"/>
  <c r="E11" i="11"/>
  <c r="E12" i="11"/>
  <c r="E13" i="11"/>
  <c r="E14" i="11"/>
  <c r="E15" i="11"/>
  <c r="D121" i="11"/>
  <c r="G108" i="11"/>
  <c r="D83" i="11"/>
  <c r="G28" i="11"/>
  <c r="G29" i="11"/>
  <c r="D94" i="11"/>
  <c r="D77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D109" i="11"/>
  <c r="D21" i="11"/>
  <c r="G30" i="11"/>
  <c r="H32" i="11"/>
  <c r="H27" i="11"/>
  <c r="F25" i="11"/>
  <c r="G32" i="11"/>
  <c r="G33" i="11"/>
  <c r="E117" i="11"/>
  <c r="G6" i="4"/>
  <c r="G19" i="4"/>
  <c r="H46" i="4"/>
  <c r="H60" i="4"/>
  <c r="H73" i="4"/>
  <c r="H87" i="4"/>
  <c r="H114" i="4"/>
  <c r="H67" i="11"/>
  <c r="D105" i="11"/>
  <c r="E31" i="11"/>
  <c r="K21" i="11"/>
  <c r="D71" i="11"/>
  <c r="D97" i="11"/>
  <c r="D104" i="11"/>
  <c r="G31" i="11"/>
  <c r="D99" i="11"/>
  <c r="H57" i="11"/>
  <c r="D96" i="11"/>
  <c r="L21" i="11"/>
  <c r="N130" i="11"/>
  <c r="J130" i="11"/>
  <c r="D106" i="11"/>
  <c r="G86" i="11"/>
  <c r="G85" i="11"/>
  <c r="L131" i="11"/>
  <c r="L169" i="11"/>
  <c r="D72" i="11"/>
  <c r="G107" i="11"/>
  <c r="D75" i="11"/>
  <c r="N168" i="11"/>
  <c r="G130" i="11"/>
  <c r="I130" i="11"/>
  <c r="P130" i="11"/>
  <c r="M130" i="11"/>
  <c r="J168" i="11"/>
  <c r="S130" i="11"/>
  <c r="G103" i="11"/>
  <c r="R130" i="11"/>
  <c r="E130" i="11"/>
  <c r="D183" i="11"/>
  <c r="L130" i="11"/>
  <c r="O130" i="11"/>
  <c r="K130" i="11"/>
  <c r="F130" i="11"/>
  <c r="Q130" i="11"/>
  <c r="H130" i="11"/>
  <c r="D95" i="11"/>
  <c r="D111" i="11"/>
  <c r="G111" i="11"/>
  <c r="H131" i="11"/>
  <c r="H169" i="11"/>
  <c r="J131" i="11"/>
  <c r="J169" i="11"/>
  <c r="Q131" i="11"/>
  <c r="Q169" i="11"/>
  <c r="O131" i="11"/>
  <c r="O169" i="11"/>
  <c r="H168" i="11"/>
  <c r="O168" i="11"/>
  <c r="F170" i="11"/>
  <c r="G170" i="11"/>
  <c r="J170" i="11"/>
  <c r="E170" i="11"/>
  <c r="L170" i="11"/>
  <c r="R170" i="11"/>
  <c r="I170" i="11"/>
  <c r="N170" i="11"/>
  <c r="S170" i="11"/>
  <c r="P170" i="11"/>
  <c r="H170" i="11"/>
  <c r="M170" i="11"/>
  <c r="Q170" i="11"/>
  <c r="O170" i="11"/>
  <c r="K170" i="11"/>
  <c r="M168" i="11"/>
  <c r="Q168" i="11"/>
  <c r="L168" i="11"/>
  <c r="L133" i="11"/>
  <c r="P135" i="11"/>
  <c r="H135" i="11"/>
  <c r="F135" i="11"/>
  <c r="L135" i="11"/>
  <c r="G135" i="11"/>
  <c r="M135" i="11"/>
  <c r="E135" i="11"/>
  <c r="I135" i="11"/>
  <c r="Q135" i="11"/>
  <c r="J135" i="11"/>
  <c r="O135" i="11"/>
  <c r="R135" i="11"/>
  <c r="N135" i="11"/>
  <c r="S135" i="11"/>
  <c r="K135" i="11"/>
  <c r="K131" i="11"/>
  <c r="K169" i="11"/>
  <c r="G87" i="11"/>
  <c r="F131" i="11"/>
  <c r="F169" i="11"/>
  <c r="M131" i="11"/>
  <c r="M169" i="11"/>
  <c r="S168" i="11"/>
  <c r="P168" i="11"/>
  <c r="F168" i="11"/>
  <c r="G131" i="11"/>
  <c r="G169" i="11"/>
  <c r="R131" i="11"/>
  <c r="R169" i="11"/>
  <c r="E131" i="11"/>
  <c r="E169" i="11"/>
  <c r="I131" i="11"/>
  <c r="I169" i="11"/>
  <c r="I168" i="11"/>
  <c r="E168" i="11"/>
  <c r="K168" i="11"/>
  <c r="R168" i="11"/>
  <c r="S131" i="11"/>
  <c r="S169" i="11"/>
  <c r="P131" i="11"/>
  <c r="P169" i="11"/>
  <c r="N131" i="11"/>
  <c r="G168" i="11"/>
  <c r="G133" i="11"/>
  <c r="J133" i="11"/>
  <c r="D179" i="11"/>
  <c r="D181" i="11"/>
  <c r="D128" i="11"/>
  <c r="D139" i="11"/>
  <c r="Q136" i="11"/>
  <c r="Q137" i="11"/>
  <c r="J136" i="11"/>
  <c r="J137" i="11"/>
  <c r="S136" i="11"/>
  <c r="S137" i="11"/>
  <c r="P136" i="11"/>
  <c r="P137" i="11"/>
  <c r="G136" i="11"/>
  <c r="I136" i="11"/>
  <c r="I137" i="11"/>
  <c r="R136" i="11"/>
  <c r="R137" i="11"/>
  <c r="L136" i="11"/>
  <c r="L137" i="11"/>
  <c r="L139" i="11"/>
  <c r="L140" i="11"/>
  <c r="N136" i="11"/>
  <c r="F136" i="11"/>
  <c r="F137" i="11"/>
  <c r="K136" i="11"/>
  <c r="K137" i="11"/>
  <c r="O136" i="11"/>
  <c r="O137" i="11"/>
  <c r="M136" i="11"/>
  <c r="M137" i="11"/>
  <c r="E136" i="11"/>
  <c r="E137" i="11"/>
  <c r="H136" i="11"/>
  <c r="H137" i="11"/>
  <c r="H133" i="11"/>
  <c r="N137" i="11"/>
  <c r="G137" i="11"/>
  <c r="Q133" i="11"/>
  <c r="Q139" i="11"/>
  <c r="Q140" i="11"/>
  <c r="I133" i="11"/>
  <c r="O133" i="11"/>
  <c r="R133" i="11"/>
  <c r="S133" i="11"/>
  <c r="M133" i="11"/>
  <c r="D174" i="11"/>
  <c r="N169" i="11"/>
  <c r="N133" i="11"/>
  <c r="K133" i="11"/>
  <c r="P133" i="11"/>
  <c r="D176" i="11"/>
  <c r="D175" i="11"/>
  <c r="E133" i="11"/>
  <c r="F133" i="11"/>
  <c r="H139" i="11"/>
  <c r="H140" i="11"/>
  <c r="G139" i="11"/>
  <c r="G140" i="11"/>
  <c r="D140" i="11"/>
  <c r="D141" i="11"/>
  <c r="D145" i="11"/>
  <c r="J139" i="11"/>
  <c r="J140" i="11"/>
  <c r="F139" i="11"/>
  <c r="F140" i="11"/>
  <c r="S139" i="11"/>
  <c r="S140" i="11"/>
  <c r="K139" i="11"/>
  <c r="K140" i="11"/>
  <c r="I139" i="11"/>
  <c r="I140" i="11"/>
  <c r="O139" i="11"/>
  <c r="O140" i="11"/>
  <c r="M139" i="11"/>
  <c r="M140" i="11"/>
  <c r="E139" i="11"/>
  <c r="E140" i="11"/>
  <c r="P139" i="11"/>
  <c r="P140" i="11"/>
  <c r="N139" i="11"/>
  <c r="N140" i="11"/>
  <c r="R139" i="11"/>
  <c r="R140" i="11"/>
  <c r="D146" i="11"/>
  <c r="E141" i="11"/>
  <c r="F141" i="11"/>
  <c r="G141" i="11"/>
  <c r="H141" i="11"/>
  <c r="I141" i="11"/>
  <c r="J141" i="11"/>
  <c r="K141" i="11"/>
  <c r="L141" i="11"/>
  <c r="M141" i="11"/>
  <c r="N141" i="11"/>
  <c r="O141" i="11"/>
  <c r="P141" i="11"/>
  <c r="Q141" i="11"/>
  <c r="R141" i="11"/>
  <c r="S141" i="11"/>
</calcChain>
</file>

<file path=xl/comments1.xml><?xml version="1.0" encoding="utf-8"?>
<comments xmlns="http://schemas.openxmlformats.org/spreadsheetml/2006/main">
  <authors>
    <author>Marco</author>
    <author>Simone Franzò</author>
  </authors>
  <commentList>
    <comment ref="K6" authorId="0">
      <text>
        <r>
          <rPr>
            <b/>
            <sz val="9"/>
            <color indexed="81"/>
            <rFont val="Tahoma"/>
            <family val="2"/>
          </rPr>
          <t>Marco:</t>
        </r>
        <r>
          <rPr>
            <sz val="9"/>
            <color indexed="81"/>
            <rFont val="Tahoma"/>
            <family val="2"/>
          </rPr>
          <t xml:space="preserve">
Forzato</t>
        </r>
      </text>
    </comment>
    <comment ref="L6" authorId="0">
      <text>
        <r>
          <rPr>
            <b/>
            <sz val="9"/>
            <color indexed="81"/>
            <rFont val="Tahoma"/>
            <family val="2"/>
          </rPr>
          <t>Marco:</t>
        </r>
        <r>
          <rPr>
            <sz val="9"/>
            <color indexed="81"/>
            <rFont val="Tahoma"/>
            <family val="2"/>
          </rPr>
          <t xml:space="preserve">
Formato</t>
        </r>
      </text>
    </comment>
    <comment ref="F26" authorId="1">
      <text>
        <r>
          <rPr>
            <b/>
            <sz val="10"/>
            <color indexed="81"/>
            <rFont val="Calibri"/>
            <family val="2"/>
          </rPr>
          <t>E&amp;S: compilare con il numero di sensori che si intende installare</t>
        </r>
        <r>
          <rPr>
            <sz val="10"/>
            <color indexed="81"/>
            <rFont val="Calibri"/>
            <family val="2"/>
          </rPr>
          <t xml:space="preserve">
</t>
        </r>
      </text>
    </comment>
    <comment ref="G42" authorId="1">
      <text>
        <r>
          <rPr>
            <b/>
            <sz val="10"/>
            <color indexed="81"/>
            <rFont val="Calibri"/>
            <family val="2"/>
          </rPr>
          <t>E&amp;S: compilare con il numero di sensori che si intende installare</t>
        </r>
        <r>
          <rPr>
            <sz val="10"/>
            <color indexed="81"/>
            <rFont val="Calibri"/>
            <family val="2"/>
          </rPr>
          <t xml:space="preserve">
</t>
        </r>
      </text>
    </comment>
    <comment ref="G59" authorId="1">
      <text>
        <r>
          <rPr>
            <b/>
            <sz val="10"/>
            <color indexed="81"/>
            <rFont val="Calibri"/>
            <family val="2"/>
          </rPr>
          <t>E&amp;S: compilare con il numero di sensori che si intende installare</t>
        </r>
        <r>
          <rPr>
            <sz val="10"/>
            <color indexed="81"/>
            <rFont val="Calibri"/>
            <family val="2"/>
          </rPr>
          <t xml:space="preserve">
</t>
        </r>
      </text>
    </comment>
    <comment ref="G64" authorId="1">
      <text>
        <r>
          <rPr>
            <b/>
            <sz val="10"/>
            <color indexed="81"/>
            <rFont val="Calibri"/>
            <family val="2"/>
          </rPr>
          <t>E&amp;S: compilare con il numero di sensori che si intende installare</t>
        </r>
        <r>
          <rPr>
            <sz val="10"/>
            <color indexed="81"/>
            <rFont val="Calibri"/>
            <family val="2"/>
          </rPr>
          <t xml:space="preserve">
</t>
        </r>
      </text>
    </comment>
    <comment ref="C88" authorId="0">
      <text>
        <r>
          <rPr>
            <b/>
            <sz val="9"/>
            <color indexed="81"/>
            <rFont val="Tahoma"/>
            <family val="2"/>
          </rPr>
          <t>Marco:</t>
        </r>
        <r>
          <rPr>
            <sz val="9"/>
            <color indexed="81"/>
            <rFont val="Tahoma"/>
            <family val="2"/>
          </rPr>
          <t xml:space="preserve">
Forzato</t>
        </r>
      </text>
    </comment>
    <comment ref="G94" authorId="0">
      <text>
        <r>
          <rPr>
            <b/>
            <sz val="9"/>
            <color indexed="81"/>
            <rFont val="Tahoma"/>
            <family val="2"/>
          </rPr>
          <t>Marco:</t>
        </r>
        <r>
          <rPr>
            <sz val="9"/>
            <color indexed="81"/>
            <rFont val="Tahoma"/>
            <family val="2"/>
          </rPr>
          <t xml:space="preserve">
Forzato</t>
        </r>
      </text>
    </comment>
    <comment ref="G95" authorId="0">
      <text>
        <r>
          <rPr>
            <b/>
            <sz val="9"/>
            <color indexed="81"/>
            <rFont val="Tahoma"/>
            <family val="2"/>
          </rPr>
          <t>Marco:</t>
        </r>
        <r>
          <rPr>
            <sz val="9"/>
            <color indexed="81"/>
            <rFont val="Tahoma"/>
            <family val="2"/>
          </rPr>
          <t xml:space="preserve">
Forzato</t>
        </r>
      </text>
    </comment>
    <comment ref="C107" authorId="0">
      <text>
        <r>
          <rPr>
            <b/>
            <sz val="9"/>
            <color indexed="81"/>
            <rFont val="Tahoma"/>
            <family val="2"/>
          </rPr>
          <t>Marco:</t>
        </r>
        <r>
          <rPr>
            <sz val="9"/>
            <color indexed="81"/>
            <rFont val="Tahoma"/>
            <family val="2"/>
          </rPr>
          <t xml:space="preserve">
Forzato</t>
        </r>
      </text>
    </comment>
  </commentList>
</comments>
</file>

<file path=xl/comments2.xml><?xml version="1.0" encoding="utf-8"?>
<comments xmlns="http://schemas.openxmlformats.org/spreadsheetml/2006/main">
  <authors>
    <author>Marco</author>
  </authors>
  <commentList>
    <comment ref="C4" authorId="0">
      <text>
        <r>
          <rPr>
            <b/>
            <sz val="9"/>
            <color indexed="81"/>
            <rFont val="Tahoma"/>
            <family val="2"/>
          </rPr>
          <t>Marco:</t>
        </r>
        <r>
          <rPr>
            <sz val="9"/>
            <color indexed="81"/>
            <rFont val="Tahoma"/>
            <family val="2"/>
          </rPr>
          <t xml:space="preserve">
Forzato</t>
        </r>
      </text>
    </comment>
    <comment ref="E28" authorId="0">
      <text>
        <r>
          <rPr>
            <b/>
            <sz val="9"/>
            <color indexed="81"/>
            <rFont val="Tahoma"/>
            <family val="2"/>
          </rPr>
          <t>Marco:</t>
        </r>
        <r>
          <rPr>
            <sz val="9"/>
            <color indexed="81"/>
            <rFont val="Tahoma"/>
            <family val="2"/>
          </rPr>
          <t xml:space="preserve">
Forzato</t>
        </r>
      </text>
    </comment>
  </commentList>
</comments>
</file>

<file path=xl/sharedStrings.xml><?xml version="1.0" encoding="utf-8"?>
<sst xmlns="http://schemas.openxmlformats.org/spreadsheetml/2006/main" count="1106" uniqueCount="580">
  <si>
    <t>Parametri finanziari</t>
  </si>
  <si>
    <t>Aliquota fiscale</t>
  </si>
  <si>
    <t xml:space="preserve">Anno </t>
  </si>
  <si>
    <t>INVESTIMENTO</t>
  </si>
  <si>
    <t>ENTRATE</t>
  </si>
  <si>
    <t>TOTALE ENTRATE</t>
  </si>
  <si>
    <t>USCITE</t>
  </si>
  <si>
    <t>TOTALE USCITE</t>
  </si>
  <si>
    <t>NCF</t>
  </si>
  <si>
    <t>NCF attualizzato</t>
  </si>
  <si>
    <t>Indicatori di sostenibilità economica</t>
  </si>
  <si>
    <t>NPV</t>
  </si>
  <si>
    <t>IRR</t>
  </si>
  <si>
    <t>PBT</t>
  </si>
  <si>
    <t>Costi di investimento</t>
  </si>
  <si>
    <t>k_D</t>
  </si>
  <si>
    <t>Installazione</t>
  </si>
  <si>
    <t>Risparmio % seguito all'intervento</t>
  </si>
  <si>
    <t>Scala dell'intervento</t>
  </si>
  <si>
    <t>Energia</t>
  </si>
  <si>
    <t>Numero quadri elettrici</t>
  </si>
  <si>
    <t>Numero punti luce</t>
  </si>
  <si>
    <t>Risparmio di energia</t>
  </si>
  <si>
    <t>WACC</t>
  </si>
  <si>
    <t>Tipologia di strada</t>
  </si>
  <si>
    <t>Strada 1</t>
  </si>
  <si>
    <t>Strada 2</t>
  </si>
  <si>
    <t>Strada 3</t>
  </si>
  <si>
    <t>Strada 4</t>
  </si>
  <si>
    <t>Strada 5</t>
  </si>
  <si>
    <t>Strada 6</t>
  </si>
  <si>
    <t>Strada 7</t>
  </si>
  <si>
    <t>Strada 8</t>
  </si>
  <si>
    <t>Strada 9</t>
  </si>
  <si>
    <t>Strada 10</t>
  </si>
  <si>
    <t xml:space="preserve"> </t>
  </si>
  <si>
    <t>2.4-2.5</t>
  </si>
  <si>
    <t>24-27</t>
  </si>
  <si>
    <t>3.2-4.2</t>
  </si>
  <si>
    <t>31-40</t>
  </si>
  <si>
    <t>M2</t>
  </si>
  <si>
    <r>
      <t>Consumo energetico annuale
kWh·m</t>
    </r>
    <r>
      <rPr>
        <vertAlign val="superscript"/>
        <sz val="16"/>
        <rFont val="Calibri"/>
        <family val="2"/>
        <scheme val="minor"/>
      </rPr>
      <t>2</t>
    </r>
  </si>
  <si>
    <r>
      <t>Densità di potenza
mW/(lx·m</t>
    </r>
    <r>
      <rPr>
        <vertAlign val="superscript"/>
        <sz val="16"/>
        <rFont val="Calibri"/>
        <family val="2"/>
        <scheme val="minor"/>
      </rPr>
      <t>2</t>
    </r>
    <r>
      <rPr>
        <sz val="16"/>
        <rFont val="Calibri"/>
        <family val="2"/>
        <scheme val="minor"/>
      </rPr>
      <t>)</t>
    </r>
  </si>
  <si>
    <r>
      <t>Rapporto di illuminamento ai bordi R</t>
    </r>
    <r>
      <rPr>
        <vertAlign val="subscript"/>
        <sz val="16"/>
        <rFont val="Calibri"/>
        <family val="2"/>
        <scheme val="minor"/>
      </rPr>
      <t>EI</t>
    </r>
  </si>
  <si>
    <r>
      <t>Incremento di soglia f</t>
    </r>
    <r>
      <rPr>
        <vertAlign val="subscript"/>
        <sz val="16"/>
        <rFont val="Calibri"/>
        <family val="2"/>
        <scheme val="minor"/>
      </rPr>
      <t xml:space="preserve">TI
</t>
    </r>
    <r>
      <rPr>
        <sz val="16"/>
        <rFont val="Calibri"/>
        <family val="2"/>
        <scheme val="minor"/>
      </rPr>
      <t>%</t>
    </r>
  </si>
  <si>
    <t>Uniformità longitudinale
Ul</t>
  </si>
  <si>
    <t>Uniformità generale
U0</t>
  </si>
  <si>
    <r>
      <t>Luminanza media L
cd/m</t>
    </r>
    <r>
      <rPr>
        <vertAlign val="superscript"/>
        <sz val="16"/>
        <rFont val="Calibri"/>
        <family val="2"/>
        <scheme val="minor"/>
      </rPr>
      <t>2</t>
    </r>
  </si>
  <si>
    <t>Categoria illuminotecnica</t>
  </si>
  <si>
    <t>LED</t>
  </si>
  <si>
    <t>SAP</t>
  </si>
  <si>
    <t>Prestazioni energetiche
(UNI EN 13201-5:2016)</t>
  </si>
  <si>
    <t>Requisiti illuminotecnici
(UNI EN 13201-2:2016)</t>
  </si>
  <si>
    <t>Classificazione strada
(UNI 11248:2016)</t>
  </si>
  <si>
    <t>C2</t>
  </si>
  <si>
    <t>UNILATERALE</t>
  </si>
  <si>
    <t>MONODIREZIONALE</t>
  </si>
  <si>
    <t>MANTO</t>
  </si>
  <si>
    <t>INTERDISTANZA/ALTEZZA
I/H (m)</t>
  </si>
  <si>
    <t>MARCIAPIEDI
(m)</t>
  </si>
  <si>
    <t>POSIZ. APPARECCHIO RISPETTO AL BORDO CARREGGIATA (m)</t>
  </si>
  <si>
    <t>ALTEZZA
H (m)</t>
  </si>
  <si>
    <t>INTERDISTANZA
I (m)</t>
  </si>
  <si>
    <t>LARGHEZZA
L (m)</t>
  </si>
  <si>
    <t>DISPOSIZIONE APPARECCHI</t>
  </si>
  <si>
    <t>SENSO MARCIA</t>
  </si>
  <si>
    <t>3.0-3.8</t>
  </si>
  <si>
    <t>25-32</t>
  </si>
  <si>
    <t>4.0-5.3</t>
  </si>
  <si>
    <t>34-41</t>
  </si>
  <si>
    <t>M1</t>
  </si>
  <si>
    <t>BILATERALE CENTRALE</t>
  </si>
  <si>
    <t>BIDIREZIONALE</t>
  </si>
  <si>
    <t>MEDIANA
(m)</t>
  </si>
  <si>
    <t>2X2,5m</t>
  </si>
  <si>
    <t>BILATERALE AFFACCIATO</t>
  </si>
  <si>
    <t>25-27</t>
  </si>
  <si>
    <t>31-32</t>
  </si>
  <si>
    <t>M3</t>
  </si>
  <si>
    <t>2X1,5m</t>
  </si>
  <si>
    <t>23-25</t>
  </si>
  <si>
    <t>2.5-2.6</t>
  </si>
  <si>
    <t>34-38</t>
  </si>
  <si>
    <t>2.2-2.4</t>
  </si>
  <si>
    <t>30-33</t>
  </si>
  <si>
    <t>25-28</t>
  </si>
  <si>
    <t>2.7-2.8</t>
  </si>
  <si>
    <t>40-44</t>
  </si>
  <si>
    <t>1.8-2.4</t>
  </si>
  <si>
    <t>34-42</t>
  </si>
  <si>
    <t>M4</t>
  </si>
  <si>
    <t>1.2-1.7</t>
  </si>
  <si>
    <t>41-51</t>
  </si>
  <si>
    <t>M5</t>
  </si>
  <si>
    <t>INSTALLAZIONE SU PALO - OTTICA STRADALE</t>
  </si>
  <si>
    <t>Gateway</t>
  </si>
  <si>
    <t>Comunicazione</t>
  </si>
  <si>
    <t>Tipo</t>
  </si>
  <si>
    <t>Tipologia sensore</t>
  </si>
  <si>
    <t xml:space="preserve">Strada 2 </t>
  </si>
  <si>
    <t xml:space="preserve">Strada 3 </t>
  </si>
  <si>
    <t xml:space="preserve">Strada 4 </t>
  </si>
  <si>
    <t xml:space="preserve">Strada 5 </t>
  </si>
  <si>
    <t xml:space="preserve">Strada 6 </t>
  </si>
  <si>
    <t xml:space="preserve">Strada 7 </t>
  </si>
  <si>
    <t xml:space="preserve">Strada 9 </t>
  </si>
  <si>
    <t xml:space="preserve">                         </t>
  </si>
  <si>
    <t>Contratto di manutenzione</t>
  </si>
  <si>
    <t>Totale investimento</t>
  </si>
  <si>
    <t>Software</t>
  </si>
  <si>
    <t>Tipologia</t>
  </si>
  <si>
    <t>TOTALE</t>
  </si>
  <si>
    <t>Categoria ill.</t>
  </si>
  <si>
    <t>Prezzo Energia [euro/kWh]</t>
  </si>
  <si>
    <t>si</t>
  </si>
  <si>
    <t>no</t>
  </si>
  <si>
    <t>Prezzo [€/sensore]</t>
  </si>
  <si>
    <t>Prezzo  [€/pacchetto]</t>
  </si>
  <si>
    <t>Manutenzione</t>
  </si>
  <si>
    <t>Trasmissione dati</t>
  </si>
  <si>
    <t>Costi trasmissione dati</t>
  </si>
  <si>
    <t>Risparmio manutenzione</t>
  </si>
  <si>
    <t>Costo software</t>
  </si>
  <si>
    <t>Consumo post intervento [kWh/anno]</t>
  </si>
  <si>
    <t>Consumo pre-intervento [kWh/anno]</t>
  </si>
  <si>
    <t>Prezzo medio a lampione</t>
  </si>
  <si>
    <t>Prezzo [€/sensore anno]</t>
  </si>
  <si>
    <t>da 300/400 a 1000/1500 a seconda che si muova o meno.</t>
  </si>
  <si>
    <t>Investimento SAL 2</t>
  </si>
  <si>
    <t>Costo manutenzione pre-intervento</t>
  </si>
  <si>
    <t>Pre intervento</t>
  </si>
  <si>
    <t>Costo manutenzione post-intervento</t>
  </si>
  <si>
    <t>1 pacchetto</t>
  </si>
  <si>
    <t>2 pacchetti</t>
  </si>
  <si>
    <t>3 pacchetti</t>
  </si>
  <si>
    <t>NESSUNO</t>
  </si>
  <si>
    <t>Software in SAL 2</t>
  </si>
  <si>
    <t># medio punti luce a quadro</t>
  </si>
  <si>
    <t># effettivo punti luce a quadro</t>
  </si>
  <si>
    <t># lampioni stimato</t>
  </si>
  <si>
    <t># quadri stimato</t>
  </si>
  <si>
    <t>Numero effettivo</t>
  </si>
  <si>
    <t>Numero minimo</t>
  </si>
  <si>
    <t>SENSORI MONITORAGGIO TRAFFICO</t>
  </si>
  <si>
    <t>Tipologia di sensore</t>
  </si>
  <si>
    <t>Regolatore punto luce</t>
  </si>
  <si>
    <t>HW per Telecontrollo</t>
  </si>
  <si>
    <t>k_ESCo</t>
  </si>
  <si>
    <t>CapitaleDebito/Investimento totale</t>
  </si>
  <si>
    <t>CapitaleESCo/Investimento totale</t>
  </si>
  <si>
    <t>CapitaleComune/Investimento totale</t>
  </si>
  <si>
    <t>k_COMUNE</t>
  </si>
  <si>
    <t>"telegestione" [€/punto luce l'anno]</t>
  </si>
  <si>
    <t>Costo software annuo</t>
  </si>
  <si>
    <t>Prezzo [€/gateway]</t>
  </si>
  <si>
    <t>il numero minimo di sensori installati dovrebbe essere almeno pari al numero di incroci</t>
  </si>
  <si>
    <t>Costo sensori</t>
  </si>
  <si>
    <t>Cumulata NCF attualizzati</t>
  </si>
  <si>
    <t>Consumo energetico specifico [kWh/m2 anno]</t>
  </si>
  <si>
    <t>Installazione [€/sensore]</t>
  </si>
  <si>
    <t>VIDEOSORVEGLIANZA</t>
  </si>
  <si>
    <t>SSS8</t>
  </si>
  <si>
    <t>Centralina meteo</t>
  </si>
  <si>
    <t>Hotspot (copertuta 100mt)</t>
  </si>
  <si>
    <t>Wifi</t>
  </si>
  <si>
    <t>SENSORI AMBIENTALI</t>
  </si>
  <si>
    <t>SSS 11</t>
  </si>
  <si>
    <t>SSS6 e SSS7</t>
  </si>
  <si>
    <t>Parcometro</t>
  </si>
  <si>
    <t>Ricarica pc o cellulari</t>
  </si>
  <si>
    <t>Ricarica biciclette (4 prese)</t>
  </si>
  <si>
    <t>Sensore magnetico wireless</t>
  </si>
  <si>
    <t>STAZIONE RICARICA</t>
  </si>
  <si>
    <t>SENSORI PARCHEGGI</t>
  </si>
  <si>
    <t>SSS 10</t>
  </si>
  <si>
    <t>SSS4 e SSS5</t>
  </si>
  <si>
    <t>Totem da esterni</t>
  </si>
  <si>
    <t>Pannello da esterni</t>
  </si>
  <si>
    <t>TOTEM e PANNELLI A MESSAGGIO VARIABILE</t>
  </si>
  <si>
    <t>SSS9</t>
  </si>
  <si>
    <t>SSS2 e SSS3</t>
  </si>
  <si>
    <t>Pannello a messaggio variabile da esterni</t>
  </si>
  <si>
    <t>Numero strutture ricarica pc o cellulari</t>
  </si>
  <si>
    <t>Numero sensori ambientali</t>
  </si>
  <si>
    <t>Numero pannelli a messaggio variabile</t>
  </si>
  <si>
    <t>Numero di totem da esterni</t>
  </si>
  <si>
    <t xml:space="preserve">Numero stazioni di ricarica biciclette </t>
  </si>
  <si>
    <t>Numero sensori monitoraggio parcheggi</t>
  </si>
  <si>
    <t>Numero di Hotspot</t>
  </si>
  <si>
    <t>Numero parcometri</t>
  </si>
  <si>
    <t>Costo sensori monitoraggio parcheggi</t>
  </si>
  <si>
    <t>Costo parcometri</t>
  </si>
  <si>
    <t>Costo sensori ambientali</t>
  </si>
  <si>
    <t>Costo pannelli a messaggio variabile</t>
  </si>
  <si>
    <t>Costo dei totem da esterni</t>
  </si>
  <si>
    <t>Costo Hotspot</t>
  </si>
  <si>
    <t xml:space="preserve">Costo stazioni di ricarica biciclette </t>
  </si>
  <si>
    <t>Numero smart meter (PELL)</t>
  </si>
  <si>
    <t>Costo smart meter (PELL)</t>
  </si>
  <si>
    <t>PELL</t>
  </si>
  <si>
    <t>Smart meter</t>
  </si>
  <si>
    <t>Costo compilazione censimento  [€/punto luce]</t>
  </si>
  <si>
    <t>Costo censimento (PELL)</t>
  </si>
  <si>
    <t>Costo di trasmissione dati - banda stretta</t>
  </si>
  <si>
    <t>Costo di trasmissione dati - banda larga</t>
  </si>
  <si>
    <t>il numero di sensori installati dev'essere pari al numero di stalli</t>
  </si>
  <si>
    <t>Una telecamera "smart" usata per sistemi di smart parking è in grado di controllare fino a 30 stalli se la geometria del parcheggio lo permette</t>
  </si>
  <si>
    <t>Il numero di parcometri è funzionale al servizio che si vuole offrire</t>
  </si>
  <si>
    <t>Il numero di sensori ambientali è funzionale al servizio che si vuole offrire</t>
  </si>
  <si>
    <t>Il numero di pannelli a messaggio variabile  è funzionale al servizio che si vuole offrire</t>
  </si>
  <si>
    <t>Il numero di totem da esterni è funzionale al servizio che si vuole offrire</t>
  </si>
  <si>
    <t>Il numero di stazioni di ricarica per pc e cellulari è funzionale al servizio che si vuole offrire</t>
  </si>
  <si>
    <t>valore indicativo che dipende dalla quantità di dati da trasportare</t>
  </si>
  <si>
    <t>Gli hotspot Wifi hanno una copertura del segnale pari a 100 mt</t>
  </si>
  <si>
    <t>Lunghezza complessiva strada oggetto d'intervento per tipologia [m]</t>
  </si>
  <si>
    <t>Larghezza strada oggetto d'intervento per tipologia [m]</t>
  </si>
  <si>
    <t>Interdistanza strada oggetto d'intervento per tipologia [m]</t>
  </si>
  <si>
    <t># incroci</t>
  </si>
  <si>
    <t>Telegestione</t>
  </si>
  <si>
    <t>FAI</t>
  </si>
  <si>
    <t>TAI</t>
  </si>
  <si>
    <t>BANDA STRETTA</t>
  </si>
  <si>
    <t>BANDA LARGA</t>
  </si>
  <si>
    <t>Attenzione!! Riempire solo se il sensore di monitoraggio traffico è diverso da quello usato nel TAI</t>
  </si>
  <si>
    <t>SAL</t>
  </si>
  <si>
    <t>SSS</t>
  </si>
  <si>
    <t>E' presente un impianto a regolazione predefinita?</t>
  </si>
  <si>
    <t>REP</t>
  </si>
  <si>
    <t>Casella di controllo</t>
  </si>
  <si>
    <t>Nel caso di installazione di soli servizi SSS:</t>
  </si>
  <si>
    <t>E' già presente un impianto di telegestione?</t>
  </si>
  <si>
    <t>Costo software prelievo dati</t>
  </si>
  <si>
    <t>Costo presente solo se si risponde "si" alla domanda ---&gt;</t>
  </si>
  <si>
    <t>I dati vengono inviati prima alla piattaforma cloud?</t>
  </si>
  <si>
    <t>Canone annuale piattaforma software</t>
  </si>
  <si>
    <t>Il numero di telecamere è funzionale al servizio che si vuole offrire</t>
  </si>
  <si>
    <t xml:space="preserve">Se si è risposto "si" alla domanda precedente: </t>
  </si>
  <si>
    <t>Risparmio seguito all'intervento</t>
  </si>
  <si>
    <t>Risparmio CO2</t>
  </si>
  <si>
    <t>Si desidera tenere in conto i risparmi ambientali in termini di valorizzazione della CO2 risparmiata?</t>
  </si>
  <si>
    <t>Costi/Risparmi annuali</t>
  </si>
  <si>
    <t>CO2 risparmiata</t>
  </si>
  <si>
    <t>Prezzo CO2 risparmiata [euro/ton]</t>
  </si>
  <si>
    <t>Risparmio energia seguito all'intervento [kWh_el]</t>
  </si>
  <si>
    <t>Risparmio seguito all'intervento [euro]</t>
  </si>
  <si>
    <t>CO2 risparmiata al kWh_el [kgCO2/kWh_el]</t>
  </si>
  <si>
    <t>Risparmio CO2 seguito all'intervento [euro]</t>
  </si>
  <si>
    <t>TOTALE Risparmio energia</t>
  </si>
  <si>
    <t>TOTALE Risparmio CO2</t>
  </si>
  <si>
    <t>Smart Adaptive Lighting &amp; Smart street services - Autofinanziamento</t>
  </si>
  <si>
    <t>Numero sensori monitoraggio traffico TAI</t>
  </si>
  <si>
    <t>Numero sensori monitoraggio traffico SSS</t>
  </si>
  <si>
    <t>Costo Sensori monitoraggio traffico TAI</t>
  </si>
  <si>
    <t>Costo Sensori monitoraggio traffico SSS</t>
  </si>
  <si>
    <t>Sensori  "advanced"</t>
  </si>
  <si>
    <t>Costo stazioni di ricarica pc o cellulari</t>
  </si>
  <si>
    <t>Smart Adaptive Lighting</t>
  </si>
  <si>
    <t>Smart Street Services</t>
  </si>
  <si>
    <t>TOTALE Risparmio manutenzione</t>
  </si>
  <si>
    <t>Sensore standard wireless (ultrasuoni/infrarossi/radar)</t>
  </si>
  <si>
    <t>Telecamera smart</t>
  </si>
  <si>
    <t>Sensore standard</t>
  </si>
  <si>
    <t>Telecamera standard</t>
  </si>
  <si>
    <t>Sensore standard (infrarossi/radar)</t>
  </si>
  <si>
    <t>Sensore advanced</t>
  </si>
  <si>
    <t>pacchetto base ''veicoli'' - telecamera smart</t>
  </si>
  <si>
    <t>pacchetto base ''pedoni'' - telecamera smart</t>
  </si>
  <si>
    <t>pacchetto base ''meteo'' - telecamera smart</t>
  </si>
  <si>
    <t>pacchetto base ''parcheggi'' - telecamera smart</t>
  </si>
  <si>
    <t>pacchetto base ''sicurezza'' - telecamera smart</t>
  </si>
  <si>
    <t>Costo Sensori advanced</t>
  </si>
  <si>
    <t>Costo software iniziale telecamera smart - TAI</t>
  </si>
  <si>
    <t>Costo software iniziale telecamera smart - SSS</t>
  </si>
  <si>
    <t>Costo sensori videosorveglianza (telecamere standard e telecamere smart)</t>
  </si>
  <si>
    <t>Numero sensori videosorveglianza (telecamere standard e telecamere smart)</t>
  </si>
  <si>
    <t>Numero sensori advanced</t>
  </si>
  <si>
    <t>Telecamera smart - 2 pacchetti software</t>
  </si>
  <si>
    <t>Telecamera smart -1 pacchetto software</t>
  </si>
  <si>
    <t>Telecamera smart - 3 pacchetti software</t>
  </si>
  <si>
    <t>Telecamera smart (parcheggio)</t>
  </si>
  <si>
    <t>Sensore traffico standard</t>
  </si>
  <si>
    <t>Sensori ambientali standard</t>
  </si>
  <si>
    <t>Sensori ambientali avanzati</t>
  </si>
  <si>
    <t>Telecamera smart (videosorveglianza)</t>
  </si>
  <si>
    <t>Sistemi di monitoraggio del traffico</t>
  </si>
  <si>
    <t>Smart street service</t>
  </si>
  <si>
    <t>Smart Parking</t>
  </si>
  <si>
    <t>Sensori ambientali</t>
  </si>
  <si>
    <t>Videosorveglianza</t>
  </si>
  <si>
    <t>Totem e pannelli a messagigo variabile</t>
  </si>
  <si>
    <t>ALTRO</t>
  </si>
  <si>
    <t>Stazioni di ricarica</t>
  </si>
  <si>
    <t>Connettività Wifi</t>
  </si>
  <si>
    <t>La telecamera smart ha un costo del software solo iniziale</t>
  </si>
  <si>
    <t>Eventuali extra costi (es: progettazione, opere civili, messa a norma impianti)</t>
  </si>
  <si>
    <t>TOTALE - TAI</t>
  </si>
  <si>
    <t>TOTALE - FAI</t>
  </si>
  <si>
    <t>Punto luce</t>
  </si>
  <si>
    <t>Sensore TAI (standard)</t>
  </si>
  <si>
    <t>Telecamera smart (TAI)</t>
  </si>
  <si>
    <t>Sensore advanced (FAI)</t>
  </si>
  <si>
    <t>Seleziona pacchetto software 1</t>
  </si>
  <si>
    <t>Seleziona pacchetto software 2</t>
  </si>
  <si>
    <t>Seleziona pacchetto software 3</t>
  </si>
  <si>
    <t>Solo per telecamera smart</t>
  </si>
  <si>
    <t>Il numero di smart meter è pari al numero di Gateway</t>
  </si>
  <si>
    <t>Viene implementato il PELL?</t>
  </si>
  <si>
    <t>campi obbligatori</t>
  </si>
  <si>
    <t>campi facoltativi</t>
  </si>
  <si>
    <t>Volume d’affari associato alle soluzioni tecnologiche</t>
  </si>
  <si>
    <t xml:space="preserve">Ricaduta occupazionale associata all’installazione/manutenzione delle soluzioni tecnologiche </t>
  </si>
  <si>
    <t xml:space="preserve">Ricaduta occupazionale associate alle soluzioni tecnologiche </t>
  </si>
  <si>
    <r>
      <t xml:space="preserve">PARAMETRI AREA INTERVENTO </t>
    </r>
    <r>
      <rPr>
        <sz val="11"/>
        <color theme="1"/>
        <rFont val="Calibri"/>
        <family val="2"/>
        <scheme val="minor"/>
      </rPr>
      <t>(in grassetto i parametri da inserire obbligatoriamente)</t>
    </r>
  </si>
  <si>
    <t>Le celle che come unità di misura hanno "elenco a discesa" prevedono una risposta a scelta da un elenco a discesa</t>
  </si>
  <si>
    <t>UBICAZIONE GEOGRAFICA</t>
  </si>
  <si>
    <t>Parametro</t>
  </si>
  <si>
    <t>Descrizione</t>
  </si>
  <si>
    <t>Unità di misura</t>
  </si>
  <si>
    <t>Valore</t>
  </si>
  <si>
    <t>Nome della Via</t>
  </si>
  <si>
    <t>Inizio e fine (dal  numero civico al numero civico oppure dal km al km)</t>
  </si>
  <si>
    <t>lungh_strada1</t>
  </si>
  <si>
    <t>lunghezza complessiva della strada di tipologia 1 oggetto dell'intervento (espressa in metri)</t>
  </si>
  <si>
    <t>Metri</t>
  </si>
  <si>
    <t>Viale Unicef (POTENZA)</t>
  </si>
  <si>
    <t>snc</t>
  </si>
  <si>
    <t>n_incroci_strada1</t>
  </si>
  <si>
    <t>numeri di incroci della strada di tipologia 1 oggetto dell'intervento</t>
  </si>
  <si>
    <t>Numero incroci</t>
  </si>
  <si>
    <t>NON COMPLETARE</t>
  </si>
  <si>
    <t>lungh_strada2</t>
  </si>
  <si>
    <t>lunghezza complessiva della strada di tipologia 2 oggetto dell'intervento (espressa in metri)</t>
  </si>
  <si>
    <t>n_incroci_strada2</t>
  </si>
  <si>
    <t>numeri di incroci della strada di tipologia 2 oggetto dell'intervento</t>
  </si>
  <si>
    <t>lungh_strada3</t>
  </si>
  <si>
    <t>lunghezza complessiva della strada di tipologia 3 oggetto dell'intervento (espressa in metri)</t>
  </si>
  <si>
    <t>n_incroci_strada3</t>
  </si>
  <si>
    <t>numeri di incroci della strada di tipologia 3 oggetto dell'intervento</t>
  </si>
  <si>
    <t>lungh_strada4</t>
  </si>
  <si>
    <t>lunghezza complessiva della strada di tipologia 4 oggetto dell'intervento (espressa in metri)</t>
  </si>
  <si>
    <t>n_incroci_strada4</t>
  </si>
  <si>
    <t>numeri di incroci della strada di tipologia 4 oggetto dell'intervento</t>
  </si>
  <si>
    <t>lungh_strada5</t>
  </si>
  <si>
    <t>lunghezza complessiva della strada di tipologia 5 oggetto dell'intervento (espressa in metri)</t>
  </si>
  <si>
    <t>n_incroci_strada5</t>
  </si>
  <si>
    <t>numeri di incroci della strada di tipologia 5 oggetto dell'intervento</t>
  </si>
  <si>
    <t>lungh_strada6</t>
  </si>
  <si>
    <t>lunghezza complessiva della strada di tipologia 6 oggetto dell'intervento (espressa in metri)</t>
  </si>
  <si>
    <t>n_incroci_strada6</t>
  </si>
  <si>
    <t>numeri di incroci della strada di tipologia 6 oggetto dell'intervento</t>
  </si>
  <si>
    <t>lungh_strada7</t>
  </si>
  <si>
    <t>lunghezza complessiva della strada di tipologia 7 oggetto dell'intervento (espressa in metri)</t>
  </si>
  <si>
    <t>n_incroci_strada7</t>
  </si>
  <si>
    <t>numeri di incroci della strada di tipologia 7 oggetto dell'intervento</t>
  </si>
  <si>
    <t>lungh_strada8</t>
  </si>
  <si>
    <t>lunghezza complessiva della strada di tipologia 8 oggetto dell'intervento (espressa in metri)</t>
  </si>
  <si>
    <t>n_incroci_strada8</t>
  </si>
  <si>
    <t>numeri di incroci della strada di tipologia 8 oggetto dell'intervento</t>
  </si>
  <si>
    <t>lungh_strada9</t>
  </si>
  <si>
    <t>lunghezza complessiva della strada di tipologia 9 oggetto dell'intervento (espressa in metri)</t>
  </si>
  <si>
    <t>n_incroci_strada9</t>
  </si>
  <si>
    <t>numeri di incroci della strada di tipologia 9 oggetto dell'intervento</t>
  </si>
  <si>
    <t>lungh_strada10</t>
  </si>
  <si>
    <t>lunghezza complessiva della strada di tipologia 10 oggetto dell'intervento (espressa in metri)</t>
  </si>
  <si>
    <t>n_incroci_strada10</t>
  </si>
  <si>
    <t>numeri di incroci della strada di tipologia 10 oggetto dell'intervento</t>
  </si>
  <si>
    <r>
      <t xml:space="preserve">PARAMETRI SITUAZIONE AS IS </t>
    </r>
    <r>
      <rPr>
        <sz val="11"/>
        <color theme="1"/>
        <rFont val="Calibri"/>
        <family val="2"/>
        <scheme val="minor"/>
      </rPr>
      <t>(in grassetto i parametri da inserire obbligatoriamente)</t>
    </r>
  </si>
  <si>
    <t>Colonna1</t>
  </si>
  <si>
    <t>tecnologia_lampada</t>
  </si>
  <si>
    <t>tecnologia utilizzata</t>
  </si>
  <si>
    <t>Elenco a discesa</t>
  </si>
  <si>
    <t>Lampade a vapori di sodio ad alta pressione</t>
  </si>
  <si>
    <t>n_di_lampade</t>
  </si>
  <si>
    <t>numero di lampade</t>
  </si>
  <si>
    <t>Numero lampade</t>
  </si>
  <si>
    <t>costo_lampada</t>
  </si>
  <si>
    <t>costo acquisto e installazione singola lampada</t>
  </si>
  <si>
    <t>€/lampada</t>
  </si>
  <si>
    <t>€ 200 (corpo illuminante)</t>
  </si>
  <si>
    <t>n_quadri_el</t>
  </si>
  <si>
    <t>numero di quadri elettrici</t>
  </si>
  <si>
    <t>costo_quadro</t>
  </si>
  <si>
    <t>costo singolo quadro elettrico</t>
  </si>
  <si>
    <t>€/quadro elettrico</t>
  </si>
  <si>
    <t>potenza_nominale_singola_lampada</t>
  </si>
  <si>
    <t>potenza nominale della singola lampada</t>
  </si>
  <si>
    <t>kW</t>
  </si>
  <si>
    <t>perdite elettriche</t>
  </si>
  <si>
    <t>perdite dovute a inefficienze della parte elettronica, driver, alimentatore, ecc… (espresse in valore assoluto kW)</t>
  </si>
  <si>
    <t>percentuale dimmering</t>
  </si>
  <si>
    <t>percentuale di potenza rispetto al totale nel caso di funzionamento in dimmering</t>
  </si>
  <si>
    <t>%</t>
  </si>
  <si>
    <t>ore_anno_accensione_impianto</t>
  </si>
  <si>
    <t>ore annuali totali di accensione della lampada a potenza piena</t>
  </si>
  <si>
    <t>Ore/anno</t>
  </si>
  <si>
    <t>durata_riduzione_flusso_luminoso (ore/anno)</t>
  </si>
  <si>
    <t>ore annuali totali di accensione della lampada a potenza ridotta</t>
  </si>
  <si>
    <t>intervallo_anni_manutenzione</t>
  </si>
  <si>
    <t>numero di anni corrispondente al valore del tempo che intercorre tra una manutenzione e l'altra, o MTBM (mean time between maintenance), di ogni lampada</t>
  </si>
  <si>
    <t>Anni</t>
  </si>
  <si>
    <t>costo_smaltimento_lampada</t>
  </si>
  <si>
    <t>costo componente elettronica relativa alla singola lampada</t>
  </si>
  <si>
    <t>€/lampda</t>
  </si>
  <si>
    <r>
      <t xml:space="preserve">PARAMETRI SITUAZIONE TO BE </t>
    </r>
    <r>
      <rPr>
        <sz val="11"/>
        <color theme="1"/>
        <rFont val="Calibri"/>
        <family val="2"/>
        <scheme val="minor"/>
      </rPr>
      <t>(in grassetto i parametri da inserire obbligatoriamente)</t>
    </r>
  </si>
  <si>
    <t>costo_apparecchio_illuminazione</t>
  </si>
  <si>
    <t>costo acquisto e installazione apparecchio illuminazione (lampada, elettronica ed armatura)</t>
  </si>
  <si>
    <t>perdite dovute a inefficienze della parte elettronica, driver, alimentatore, ecc… (espresse in valore assoluto in kW)</t>
  </si>
  <si>
    <t>costo_sistema_controllo</t>
  </si>
  <si>
    <t>costo di aggiornamento/installazione sistema di controllo remoto</t>
  </si>
  <si>
    <t>€</t>
  </si>
  <si>
    <t>costo_palo</t>
  </si>
  <si>
    <t>costo sostituzione palo di illuminazione relativo al singolo apparecchio</t>
  </si>
  <si>
    <t>€/palo</t>
  </si>
  <si>
    <t>costo_rifacimento_imp_elettrico</t>
  </si>
  <si>
    <t>costo di ammodernamento/rifacimento dell’impianto elettrico</t>
  </si>
  <si>
    <t>costo_attività_prodromiche</t>
  </si>
  <si>
    <t>costo attività preliminari per la diagnosi tecnica e la progettazione</t>
  </si>
  <si>
    <t>flusso_di_cassa</t>
  </si>
  <si>
    <t>ricavi derivanti per il comune dall'utilizzo di servizi smart implementati</t>
  </si>
  <si>
    <t>€/anno</t>
  </si>
  <si>
    <r>
      <t xml:space="preserve">PARAMETRI INTERVENTI SMART ADAPTIVE LIGHTING </t>
    </r>
    <r>
      <rPr>
        <sz val="11"/>
        <color theme="1"/>
        <rFont val="Calibri"/>
        <family val="2"/>
        <scheme val="minor"/>
      </rPr>
      <t>(in grassetto i parametri da inserire obbligatoriamente)</t>
    </r>
  </si>
  <si>
    <t>Tipologia_intervento_SAL</t>
  </si>
  <si>
    <t>gli interventi di riqualificazione in ottica smart adaptive lighting (SAL) sono declinati in tre diverse tipologie: 
(i) impianto “a regolazione predefinita”, ossia una illuminazione a regolazione che opera secondo delle valutazioni a priori esplicitate dal progettista nella valutazione dei rischi” ; 
(ii) impianto “Traffic Adaptive Installation” (TAI), ossia una illuminazione a regolazione nella quale le variazioni controllate nel tempo della luminanza o dell’illuminamento sono attuate con continuità in base alle reali condizioni del flusso orario del traffico;
(iii) impianto “Full Adaptive Installation” (FAI), ossia una illuminazione a regolazione nella quale le variazioni controllate nel tempo della luminanza o dell’illuminamento sono attuate con continuità in base alle reali condizioni del flusso orario del traffico, la luminanza del manto stradale o l’illuminamento e le condizioni metereologiche</t>
  </si>
  <si>
    <t>Traffic Adaptive Installation (TAI)</t>
  </si>
  <si>
    <t>costo_regolazione_predefinita</t>
  </si>
  <si>
    <t xml:space="preserve">costo di fornitura, installazione e avvio del servizio di  "regolazione predefinita” </t>
  </si>
  <si>
    <t>Regolazione predefinita</t>
  </si>
  <si>
    <t>NB: da compilare nel caso in cui come valore nella cella C67 si sia indicato regolazione predefinita</t>
  </si>
  <si>
    <t>n_sensori_TAI</t>
  </si>
  <si>
    <t>numero di sensori standard per il traffico installati nel caso in cui si sia implementato un impianto TAI o FAI</t>
  </si>
  <si>
    <t>Numero sensori</t>
  </si>
  <si>
    <t>NB: da compilare nel caso in cui come valore nella cella C67 si sia indicato TAI o FAI</t>
  </si>
  <si>
    <t>costo_sensori_TAI</t>
  </si>
  <si>
    <t>costo per la fornitura e l'installazione di sensori standard per il traffico</t>
  </si>
  <si>
    <t>costo_TAI</t>
  </si>
  <si>
    <t>costo di fornitura, installazione e avvio del servizio TAI (servizio di valutazione statistica predittiva, sulla base di
un continuo campionamento, del flusso orario del traffico
per la regolazione della luminosità)</t>
  </si>
  <si>
    <t>n_telecamere_1software</t>
  </si>
  <si>
    <t>numero di telecamere smart installate nel caso si sia implementato un impianto TAI o FAI dotate di un unico pacchetto software che permette il monitaraggio puntuale del traffico</t>
  </si>
  <si>
    <t>Numero telecamere</t>
  </si>
  <si>
    <t>costo_telecamere_1software</t>
  </si>
  <si>
    <t>costo per la fornitura e l'installazione di telecamere smart dotate di un unico pacchetto software</t>
  </si>
  <si>
    <t>n_telecamere_2software</t>
  </si>
  <si>
    <t>numero di telecamere smart installate nel caso si sia implementato un impianto TAI o FAI dotate di 2 pacchetti software che, oltre il monitaraggio del traffico, permettono anche il rilevamento di situazioni pericolose/critiche</t>
  </si>
  <si>
    <t>costo_telecamere_2software</t>
  </si>
  <si>
    <t>costo per la fornitura e l'installazione di telecamere smart dotate di 2 pacchetti software</t>
  </si>
  <si>
    <t>n_telecamere_3software</t>
  </si>
  <si>
    <t>numero di telecamere smart installate nel caso si sia implementato un impianto TAI o FAI dotate di 3 pacchetti software che, oltre il monitaraggio del traffico e il rilevamento di situazioni pericolose/critiche, realizzano un'altra funzionalità (come ad esempio il monitoraggio delle aree di sosta o la rilevaizone e il conteggio dei pedoni)</t>
  </si>
  <si>
    <t>costo_telecamere_3software</t>
  </si>
  <si>
    <t>costo per la fornitura e l'installazione di telecamere smart dotate di 3 pacchetti software</t>
  </si>
  <si>
    <t>n_sensori_FAI</t>
  </si>
  <si>
    <t>numero di sensori avanzati installati, che permettono il monitoraggio della luminanza del manto stradale o delle condizioni metereologiche, nel caso in cui si sia implementato un impianto FAI</t>
  </si>
  <si>
    <t>NB: da compilare nel caso in cui come valore nella cella C67 si sia indicato FAI</t>
  </si>
  <si>
    <t>costo_sensori_FAI</t>
  </si>
  <si>
    <t>costo per la fornitura e l'installazione di sensori avanzati che permettono il monitoraggio della luminanza del manto stradale o delle condizioni metereologiche</t>
  </si>
  <si>
    <t>costo_FAI</t>
  </si>
  <si>
    <t>costo di fornitura, installazione e avvio del servizio FAI (servizio di valutazione statistica predittiva, sulla base di
un continuo campionamento, del flusso orario del traffico,
della luminanza del manto stradale e delle condizioni
metereologiche per la regolazione della luminosità.)</t>
  </si>
  <si>
    <r>
      <t xml:space="preserve">PARAMETRI INTERVENTI SMART STREET SERVICES </t>
    </r>
    <r>
      <rPr>
        <sz val="11"/>
        <color theme="1"/>
        <rFont val="Calibri"/>
        <family val="2"/>
        <scheme val="minor"/>
      </rPr>
      <t>(in grassetto i parametri da inserire obbligatoriamente)</t>
    </r>
  </si>
  <si>
    <t>implementazione_PELL</t>
  </si>
  <si>
    <t>Adesione alla piattaforma "Public Energy Living Lab" finalizzata alla raccolta ed organizzazione dei dati monitorati</t>
  </si>
  <si>
    <t>Sì</t>
  </si>
  <si>
    <t>costo_PELL</t>
  </si>
  <si>
    <t>costo per il servizo di installazione piattaforma PELL per la raccolta ed organizzazione dei dati.</t>
  </si>
  <si>
    <t>n_sensori_traffico</t>
  </si>
  <si>
    <t>numero di sensori standard per il monitoraggio del traffico installati</t>
  </si>
  <si>
    <t>Monitoraggio del traffico</t>
  </si>
  <si>
    <t>NB: da completare solo se i sensori e le telecamente di monitoraggio del traffico sono diversi da quelli usati nel TAI</t>
  </si>
  <si>
    <t>numero di telecamere smart installate dotate di un unico pacchetto software che permette il monitaraggio puntuale del traffico</t>
  </si>
  <si>
    <t>numero di telecamere smart installate dotate di 2 pacchetti software che, oltre il monitaraggio del traffico, permettono anche il rilevamento di situazioni pericolose/critiche</t>
  </si>
  <si>
    <t>numero di telecamere smart installate dotate di 3 pacchetti software che, oltre il monitaraggio del traffico e il rilevamento di situazioni pericolose/critiche, realizzano un'altra funzionalità (come ad esempio la rilevazione e il conteggio dei pedoni)</t>
  </si>
  <si>
    <t>costo_conteggio_veicoli</t>
  </si>
  <si>
    <t>costo per la fornitura, l'installazione e l'avvio del servizio di conteggio veicoli e pedoni</t>
  </si>
  <si>
    <t>costo_tempo_percorrenza</t>
  </si>
  <si>
    <t>costo per la fornitura, l'installazione e l'avvio del servizio di calcolo di velocità e tempo medio di
percorrenza della tratta, rilevazione sosta vietata,
inversione di marcia, incidente stradale e fumo</t>
  </si>
  <si>
    <t>n_sensori_magnetici</t>
  </si>
  <si>
    <t>numero di sensori installati volti al monitoraggio di aree di parcheggio e all'individuazione di aree libere</t>
  </si>
  <si>
    <t>n_telecamere_parcheggi</t>
  </si>
  <si>
    <t>numero di telecamere installate volte al monitoraggio di aree di parcheggio e all'individuazione di aree libere</t>
  </si>
  <si>
    <t>n_parcometri</t>
  </si>
  <si>
    <t>numero di parcometri installati</t>
  </si>
  <si>
    <t xml:space="preserve">Numero parcometri </t>
  </si>
  <si>
    <t>costo_monitoraggio_aree_parcheggio</t>
  </si>
  <si>
    <t>costo per la fornitura, l'installazione e l'avvio del servizio di monitoraggio aree parcheggio con calcolo flusso
entrata e uscita veicoli</t>
  </si>
  <si>
    <t>costo_conteggio_aree_libere</t>
  </si>
  <si>
    <t>costo per la fornitura, l'installazione e l'avvio del servizio di conteggio aree di sosta libere, tempo medio di
sosta, riconoscimento targhe, flussi entrata e uscita</t>
  </si>
  <si>
    <t>n_sensori_ambientali_standard</t>
  </si>
  <si>
    <t>numero di sensori installati volti al monitoraggio di parametri ambientali "standard" (CO, CO2, NO2, O3, PM2.5, PM10, SO2)</t>
  </si>
  <si>
    <t>Monitoraggio ambientale</t>
  </si>
  <si>
    <t>n_sensori_ambientali_avanzati</t>
  </si>
  <si>
    <t>numero di sensori installati volti al monitoraggio di parametri ambientali "evoluti" (C6H6, CH4, H2S, NH3, VOC, PM1)</t>
  </si>
  <si>
    <t>n_centraline_meteo</t>
  </si>
  <si>
    <t>numero di centraline meteo installate</t>
  </si>
  <si>
    <t>Numero centraline</t>
  </si>
  <si>
    <t>costo_monitoraggio_ambientale_base</t>
  </si>
  <si>
    <t>costo per la fornitura, l'installazione e l'avvio del servizio di monitoraggio base della qualità dell’aria (es.
sostanze presenti nell’aria, meteo…)</t>
  </si>
  <si>
    <t>costo_monitoraggio_ambientale_evoluto</t>
  </si>
  <si>
    <t>costo per la fornitura, l'installazione e l'avvio del servizio di monitoraggio ambientale avanzato (es: molecole complesse…)</t>
  </si>
  <si>
    <t>n_telecamere_sorveglianza</t>
  </si>
  <si>
    <t>numero di telecamere volte al rilevamento di situazione critiche installate</t>
  </si>
  <si>
    <t>Telesorveglianza</t>
  </si>
  <si>
    <t>costo_telesorveglianza</t>
  </si>
  <si>
    <t>costo per la fornitura, l'installazione e l'avvio del servizio di telesorveglianza</t>
  </si>
  <si>
    <t>n_pannelli</t>
  </si>
  <si>
    <t>numero di pannelli a messaggio variabile installati</t>
  </si>
  <si>
    <t>Numero pannelli</t>
  </si>
  <si>
    <t>Totem e pannelli informativi</t>
  </si>
  <si>
    <t>n_totem</t>
  </si>
  <si>
    <t>numero di totem informatici installati</t>
  </si>
  <si>
    <t>Numero totem</t>
  </si>
  <si>
    <t>costo_pannelli_totem</t>
  </si>
  <si>
    <t>costo per la fornitura, l'installazione e l'avvio del servizio informativo al cittadino tramite pannelli e totem</t>
  </si>
  <si>
    <t>n_ricariche_pc</t>
  </si>
  <si>
    <t>numero di ricariche per PC e cellulari installate</t>
  </si>
  <si>
    <t>Numero ricariche pc</t>
  </si>
  <si>
    <t>n_ricariche_biciclette</t>
  </si>
  <si>
    <t>numero di ricariche per biciclette elettriche installate</t>
  </si>
  <si>
    <t>Numero ricariche biciclette</t>
  </si>
  <si>
    <t>costo_ricariche</t>
  </si>
  <si>
    <t>costo per la fornitura, l'installazione e l'avvio del servizio di ricarica di dispositivi elettronici e biciclette elettriche</t>
  </si>
  <si>
    <t>n_hotspot</t>
  </si>
  <si>
    <t>numero di hotspot installati (con una copertura di 100 mt)</t>
  </si>
  <si>
    <t>Numero hotspot</t>
  </si>
  <si>
    <t>costo_hotspot</t>
  </si>
  <si>
    <t>costo per la fornitura, l'installazione e l'avvio del servizio di rete Wi-Fi</t>
  </si>
  <si>
    <r>
      <t xml:space="preserve">PARAMETRI INVESTIMENTI </t>
    </r>
    <r>
      <rPr>
        <sz val="11"/>
        <color theme="1"/>
        <rFont val="Calibri"/>
        <family val="2"/>
        <scheme val="minor"/>
      </rPr>
      <t>(in grassetto i parametri da inserire obbligatoriamente)</t>
    </r>
  </si>
  <si>
    <t>costo medio ponderato del capitale (Weighted Average Cost of Capital), espresso in percentuale</t>
  </si>
  <si>
    <t>costo_unitario_energia</t>
  </si>
  <si>
    <t>costo per l’acquisto dell’energia</t>
  </si>
  <si>
    <t>€/kWh</t>
  </si>
  <si>
    <t>durata_incentivi</t>
  </si>
  <si>
    <t>numero di anni nei quali si può usufruire dei benefici economici derivanti da incentivi statali per il risparmio di Co2 emessa, ovvero i cosiddetti “Certificati Bianchi”</t>
  </si>
  <si>
    <t>valore_monetario_TEP</t>
  </si>
  <si>
    <t>valore monetario del singolo TEP, o tonnellata equivalente di petrolio in Euro</t>
  </si>
  <si>
    <t>€/TEE</t>
  </si>
  <si>
    <t>durata_ammortamento</t>
  </si>
  <si>
    <t>durata dell’ammortamento misurata in numero di anni</t>
  </si>
  <si>
    <t>contratto_manutenzione_già_presenza</t>
  </si>
  <si>
    <t>Presenza, al momento della realizzazione dell’intervento, un contratto di manutenzione relativo alla pubblica illuminazione</t>
  </si>
  <si>
    <t>No</t>
  </si>
  <si>
    <t>costo_gestione</t>
  </si>
  <si>
    <t>costo annuale di gestione della sezione di impianto in termini di personale e asset tangibili</t>
  </si>
  <si>
    <t>costo_cloud</t>
  </si>
  <si>
    <t xml:space="preserve">canone annuo della piaffaforma cloud
(nel caso in cui i dati vengono inviati ad una piattaforma cloud gestita da un operatore terzo) </t>
  </si>
  <si>
    <t>costo_finanziamento</t>
  </si>
  <si>
    <t>costo annuale per la stipulazione di assicurazioni, fidejussioni, etc. ai fini della stipula di finanziamento</t>
  </si>
  <si>
    <r>
      <t xml:space="preserve">PARAMETRI STRUMENTI FINANZIARI </t>
    </r>
    <r>
      <rPr>
        <sz val="11"/>
        <color theme="1"/>
        <rFont val="Calibri"/>
        <family val="2"/>
        <scheme val="minor"/>
      </rPr>
      <t>(in grassetto i parametri da inserire obbligatoriamente)</t>
    </r>
  </si>
  <si>
    <t>modalità_finanziamento</t>
  </si>
  <si>
    <t>modalità con cui è stato finanziato l'intervento</t>
  </si>
  <si>
    <t>Autofinanziamento</t>
  </si>
  <si>
    <t>durata_progetto_anni</t>
  </si>
  <si>
    <t>durata del progetto di finanziamento (espressi in anni)</t>
  </si>
  <si>
    <t>quota_Comune</t>
  </si>
  <si>
    <t>quota parte dell'investimento totale attribuita a capitale proprio del Comune (espressa in percentuale)</t>
  </si>
  <si>
    <t>quota_debito</t>
  </si>
  <si>
    <t>quota parte dell'investimento totale attribuita a capitale di debito degli istituti di credito (espressa in percentuale)</t>
  </si>
  <si>
    <t>quota_finanziata</t>
  </si>
  <si>
    <t>quota parte dell'investimento totale attribuita a capitale del soggetto privato, ad esempio ESCo (espressa in percentuale)</t>
  </si>
  <si>
    <t>canone_annuo</t>
  </si>
  <si>
    <t>in caso di intervento non realizzato in autofinanziamento, il canone annuo che il soggetto investitore ha richiesto per effettuare l’investimento (espresso in €/anno)</t>
  </si>
  <si>
    <t>€/annno</t>
  </si>
  <si>
    <t>NB: da completare nel caso di intervento NON realizzato in autofinanziamento</t>
  </si>
  <si>
    <t>imposte</t>
  </si>
  <si>
    <t>tasso percentuale relativo alle imposte a carico del soggetto privato</t>
  </si>
  <si>
    <t>(corpi illuminanti)</t>
  </si>
  <si>
    <t>Bolletta energetica pre intervento (€/anno)</t>
  </si>
  <si>
    <t>Investimento complessivo €</t>
  </si>
  <si>
    <t>Investimento complessivo TAI €</t>
  </si>
  <si>
    <t>Consumo energetico pre intervento (kWh/anno)</t>
  </si>
  <si>
    <t>Consumo energetico post intervento (kWh/anno)</t>
  </si>
  <si>
    <t>Bolletta energetica post intervento (€/anno)</t>
  </si>
  <si>
    <t>costo apparecchio illuminazione</t>
  </si>
  <si>
    <t>costo sistema controllo</t>
  </si>
  <si>
    <t>costo palo</t>
  </si>
  <si>
    <t>costo rifacimento imp elettrico</t>
  </si>
  <si>
    <t>costo attività prodromiche</t>
  </si>
  <si>
    <t>Prezzo</t>
  </si>
  <si>
    <t>Costo apparecchio illuminazione</t>
  </si>
  <si>
    <t>Costo sistema controllo</t>
  </si>
  <si>
    <t>Costo palo</t>
  </si>
  <si>
    <t>Costo rifacimento imp elettrico</t>
  </si>
  <si>
    <t>Costo attività prodromiche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</si>
</sst>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_-* #,##0\ &quot;€&quot;_-;\-* #,##0\ &quot;€&quot;_-;_-* &quot;-&quot;\ &quot;€&quot;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"/>
    <numFmt numFmtId="168" formatCode="#,##0.00\ &quot;€&quot;"/>
    <numFmt numFmtId="169" formatCode="#,##0\ &quot;€&quot;"/>
    <numFmt numFmtId="170" formatCode="#,##0.0\ &quot;€&quot;"/>
    <numFmt numFmtId="171" formatCode="_-* #,##0\ &quot;€&quot;_-;\-* #,##0\ &quot;€&quot;_-;_-* &quot;-&quot;?\ &quot;€&quot;_-;_-@_-"/>
    <numFmt numFmtId="172" formatCode="_-* #,##0\ &quot;€&quot;_-;\-* #,##0\ &quot;€&quot;_-;_-* &quot;-&quot;??\ &quot;€&quot;_-;_-@_-"/>
    <numFmt numFmtId="173" formatCode="_-* #,##0\ _€_-;\-* #,##0\ _€_-;_-* &quot;-&quot;??\ _€_-;_-@_-"/>
  </numFmts>
  <fonts count="3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name val="Arial"/>
      <family val="2"/>
    </font>
    <font>
      <sz val="16"/>
      <name val="Calibri"/>
      <family val="2"/>
      <scheme val="minor"/>
    </font>
    <font>
      <sz val="16"/>
      <color rgb="FFC00000"/>
      <name val="Calibri"/>
      <family val="2"/>
      <scheme val="minor"/>
    </font>
    <font>
      <sz val="16"/>
      <color indexed="8"/>
      <name val="Calibri"/>
      <family val="2"/>
      <scheme val="minor"/>
    </font>
    <font>
      <vertAlign val="superscript"/>
      <sz val="16"/>
      <name val="Calibri"/>
      <family val="2"/>
      <scheme val="minor"/>
    </font>
    <font>
      <vertAlign val="subscript"/>
      <sz val="16"/>
      <name val="Calibri"/>
      <family val="2"/>
      <scheme val="minor"/>
    </font>
    <font>
      <sz val="16"/>
      <color rgb="FFFF0000"/>
      <name val="Calibri"/>
      <family val="2"/>
      <scheme val="minor"/>
    </font>
    <font>
      <sz val="2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0"/>
      <color indexed="81"/>
      <name val="Calibri"/>
      <family val="2"/>
    </font>
    <font>
      <b/>
      <sz val="10"/>
      <color indexed="81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i/>
      <sz val="11"/>
      <color theme="1"/>
      <name val="Calibri"/>
      <scheme val="minor"/>
    </font>
    <font>
      <sz val="11"/>
      <color rgb="FF000000"/>
      <name val="Calibri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2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</fills>
  <borders count="50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</borders>
  <cellStyleXfs count="7">
    <xf numFmtId="0" fontId="0" fillId="0" borderId="0"/>
    <xf numFmtId="166" fontId="3" fillId="0" borderId="0" applyFont="0" applyFill="0" applyBorder="0" applyAlignment="0" applyProtection="0"/>
    <xf numFmtId="0" fontId="5" fillId="0" borderId="0"/>
    <xf numFmtId="0" fontId="5" fillId="0" borderId="0"/>
    <xf numFmtId="9" fontId="3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</cellStyleXfs>
  <cellXfs count="452">
    <xf numFmtId="0" fontId="0" fillId="0" borderId="0" xfId="0"/>
    <xf numFmtId="0" fontId="0" fillId="0" borderId="4" xfId="0" applyBorder="1"/>
    <xf numFmtId="9" fontId="0" fillId="0" borderId="5" xfId="0" applyNumberFormat="1" applyBorder="1"/>
    <xf numFmtId="0" fontId="0" fillId="0" borderId="6" xfId="0" applyBorder="1"/>
    <xf numFmtId="0" fontId="0" fillId="0" borderId="7" xfId="0" applyBorder="1"/>
    <xf numFmtId="0" fontId="1" fillId="3" borderId="1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2" fillId="2" borderId="1" xfId="0" applyFont="1" applyFill="1" applyBorder="1"/>
    <xf numFmtId="0" fontId="0" fillId="2" borderId="3" xfId="0" applyFill="1" applyBorder="1"/>
    <xf numFmtId="0" fontId="2" fillId="0" borderId="1" xfId="0" applyFont="1" applyBorder="1"/>
    <xf numFmtId="0" fontId="0" fillId="0" borderId="3" xfId="0" applyBorder="1"/>
    <xf numFmtId="0" fontId="2" fillId="0" borderId="6" xfId="0" applyFont="1" applyBorder="1"/>
    <xf numFmtId="0" fontId="0" fillId="0" borderId="0" xfId="0" applyBorder="1"/>
    <xf numFmtId="3" fontId="0" fillId="0" borderId="0" xfId="0" applyNumberFormat="1" applyBorder="1"/>
    <xf numFmtId="0" fontId="2" fillId="0" borderId="0" xfId="0" applyFont="1" applyBorder="1"/>
    <xf numFmtId="0" fontId="2" fillId="0" borderId="8" xfId="0" applyFont="1" applyFill="1" applyBorder="1"/>
    <xf numFmtId="0" fontId="2" fillId="0" borderId="4" xfId="0" applyFont="1" applyFill="1" applyBorder="1"/>
    <xf numFmtId="0" fontId="2" fillId="0" borderId="0" xfId="0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0" fillId="0" borderId="8" xfId="0" applyBorder="1"/>
    <xf numFmtId="0" fontId="0" fillId="0" borderId="6" xfId="0" applyFill="1" applyBorder="1"/>
    <xf numFmtId="0" fontId="2" fillId="5" borderId="1" xfId="0" applyFont="1" applyFill="1" applyBorder="1"/>
    <xf numFmtId="0" fontId="2" fillId="5" borderId="2" xfId="0" applyFont="1" applyFill="1" applyBorder="1"/>
    <xf numFmtId="0" fontId="2" fillId="2" borderId="12" xfId="0" applyFont="1" applyFill="1" applyBorder="1"/>
    <xf numFmtId="0" fontId="2" fillId="2" borderId="13" xfId="0" applyFont="1" applyFill="1" applyBorder="1"/>
    <xf numFmtId="0" fontId="2" fillId="2" borderId="14" xfId="0" applyFont="1" applyFill="1" applyBorder="1"/>
    <xf numFmtId="0" fontId="4" fillId="0" borderId="0" xfId="0" applyFont="1" applyFill="1" applyAlignment="1">
      <alignment horizontal="center"/>
    </xf>
    <xf numFmtId="0" fontId="6" fillId="0" borderId="0" xfId="2" applyFont="1" applyFill="1" applyBorder="1" applyAlignment="1"/>
    <xf numFmtId="0" fontId="6" fillId="0" borderId="0" xfId="2" applyFont="1" applyFill="1" applyBorder="1" applyAlignment="1">
      <alignment horizontal="center"/>
    </xf>
    <xf numFmtId="167" fontId="6" fillId="0" borderId="0" xfId="2" applyNumberFormat="1" applyFont="1" applyFill="1" applyBorder="1" applyAlignment="1">
      <alignment horizontal="center"/>
    </xf>
    <xf numFmtId="0" fontId="6" fillId="0" borderId="0" xfId="2" applyFont="1" applyFill="1" applyAlignment="1">
      <alignment horizontal="center"/>
    </xf>
    <xf numFmtId="2" fontId="6" fillId="0" borderId="0" xfId="2" applyNumberFormat="1" applyFont="1" applyFill="1" applyBorder="1" applyAlignment="1">
      <alignment horizontal="center" vertical="center"/>
    </xf>
    <xf numFmtId="0" fontId="6" fillId="0" borderId="0" xfId="2" applyFont="1" applyFill="1" applyBorder="1" applyAlignment="1">
      <alignment horizontal="center" vertical="center"/>
    </xf>
    <xf numFmtId="2" fontId="7" fillId="0" borderId="0" xfId="2" applyNumberFormat="1" applyFont="1" applyFill="1" applyBorder="1" applyAlignment="1">
      <alignment horizontal="center"/>
    </xf>
    <xf numFmtId="2" fontId="6" fillId="0" borderId="0" xfId="2" applyNumberFormat="1" applyFont="1" applyFill="1" applyAlignment="1">
      <alignment horizontal="center"/>
    </xf>
    <xf numFmtId="2" fontId="6" fillId="0" borderId="15" xfId="2" applyNumberFormat="1" applyFont="1" applyFill="1" applyBorder="1" applyAlignment="1">
      <alignment horizontal="center"/>
    </xf>
    <xf numFmtId="1" fontId="6" fillId="0" borderId="15" xfId="2" applyNumberFormat="1" applyFont="1" applyFill="1" applyBorder="1" applyAlignment="1">
      <alignment horizontal="center"/>
    </xf>
    <xf numFmtId="0" fontId="6" fillId="0" borderId="0" xfId="2" applyFont="1" applyFill="1" applyAlignment="1">
      <alignment horizontal="center" vertical="center"/>
    </xf>
    <xf numFmtId="0" fontId="6" fillId="0" borderId="15" xfId="2" applyFont="1" applyFill="1" applyBorder="1" applyAlignment="1">
      <alignment horizontal="center" wrapText="1"/>
    </xf>
    <xf numFmtId="0" fontId="6" fillId="0" borderId="1" xfId="2" applyFont="1" applyFill="1" applyBorder="1" applyAlignment="1">
      <alignment horizontal="center" wrapText="1"/>
    </xf>
    <xf numFmtId="0" fontId="8" fillId="0" borderId="15" xfId="2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8" fillId="0" borderId="15" xfId="2" applyFont="1" applyFill="1" applyBorder="1" applyAlignment="1">
      <alignment horizontal="center" vertical="top" wrapText="1"/>
    </xf>
    <xf numFmtId="167" fontId="6" fillId="0" borderId="15" xfId="2" applyNumberFormat="1" applyFont="1" applyFill="1" applyBorder="1" applyAlignment="1">
      <alignment horizontal="center"/>
    </xf>
    <xf numFmtId="0" fontId="6" fillId="0" borderId="15" xfId="2" applyFont="1" applyFill="1" applyBorder="1" applyAlignment="1">
      <alignment horizontal="center"/>
    </xf>
    <xf numFmtId="0" fontId="6" fillId="0" borderId="1" xfId="2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/>
    </xf>
    <xf numFmtId="0" fontId="6" fillId="0" borderId="15" xfId="2" applyFont="1" applyFill="1" applyBorder="1" applyAlignment="1">
      <alignment horizontal="center" vertical="center"/>
    </xf>
    <xf numFmtId="0" fontId="6" fillId="0" borderId="15" xfId="2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0" fontId="4" fillId="0" borderId="0" xfId="0" applyFont="1" applyFill="1"/>
    <xf numFmtId="0" fontId="6" fillId="0" borderId="15" xfId="2" applyNumberFormat="1" applyFont="1" applyFill="1" applyBorder="1" applyAlignment="1">
      <alignment horizontal="center"/>
    </xf>
    <xf numFmtId="2" fontId="4" fillId="0" borderId="15" xfId="2" applyNumberFormat="1" applyFont="1" applyFill="1" applyBorder="1" applyAlignment="1">
      <alignment horizontal="center"/>
    </xf>
    <xf numFmtId="0" fontId="6" fillId="0" borderId="15" xfId="1" applyNumberFormat="1" applyFont="1" applyFill="1" applyBorder="1" applyAlignment="1">
      <alignment horizontal="center"/>
    </xf>
    <xf numFmtId="9" fontId="6" fillId="0" borderId="15" xfId="2" applyNumberFormat="1" applyFont="1" applyFill="1" applyBorder="1" applyAlignment="1">
      <alignment horizontal="center"/>
    </xf>
    <xf numFmtId="0" fontId="6" fillId="0" borderId="0" xfId="3" applyFont="1" applyFill="1" applyAlignment="1">
      <alignment horizontal="center"/>
    </xf>
    <xf numFmtId="0" fontId="6" fillId="0" borderId="0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/>
    </xf>
    <xf numFmtId="3" fontId="6" fillId="0" borderId="0" xfId="0" applyNumberFormat="1" applyFont="1" applyFill="1" applyAlignment="1">
      <alignment horizontal="center"/>
    </xf>
    <xf numFmtId="167" fontId="6" fillId="0" borderId="0" xfId="0" applyNumberFormat="1" applyFont="1" applyFill="1" applyBorder="1" applyAlignment="1">
      <alignment horizontal="center"/>
    </xf>
    <xf numFmtId="1" fontId="6" fillId="0" borderId="0" xfId="0" applyNumberFormat="1" applyFont="1" applyFill="1" applyBorder="1" applyAlignment="1">
      <alignment horizontal="center"/>
    </xf>
    <xf numFmtId="0" fontId="11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2" fontId="6" fillId="0" borderId="0" xfId="2" applyNumberFormat="1" applyFont="1" applyFill="1" applyBorder="1" applyAlignment="1">
      <alignment horizontal="center"/>
    </xf>
    <xf numFmtId="0" fontId="6" fillId="0" borderId="0" xfId="2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49" fontId="6" fillId="0" borderId="15" xfId="2" applyNumberFormat="1" applyFont="1" applyFill="1" applyBorder="1" applyAlignment="1">
      <alignment horizontal="center"/>
    </xf>
    <xf numFmtId="0" fontId="6" fillId="0" borderId="1" xfId="2" applyFont="1" applyFill="1" applyBorder="1" applyAlignment="1">
      <alignment horizontal="center" vertical="center" wrapText="1"/>
    </xf>
    <xf numFmtId="0" fontId="12" fillId="0" borderId="0" xfId="3" applyFont="1" applyFill="1" applyAlignment="1">
      <alignment horizontal="left"/>
    </xf>
    <xf numFmtId="0" fontId="2" fillId="0" borderId="0" xfId="0" applyFont="1"/>
    <xf numFmtId="0" fontId="0" fillId="0" borderId="6" xfId="0" applyFont="1" applyBorder="1"/>
    <xf numFmtId="0" fontId="0" fillId="0" borderId="1" xfId="0" applyBorder="1"/>
    <xf numFmtId="0" fontId="0" fillId="0" borderId="0" xfId="0" applyFill="1"/>
    <xf numFmtId="0" fontId="0" fillId="0" borderId="4" xfId="0" applyFont="1" applyFill="1" applyBorder="1"/>
    <xf numFmtId="0" fontId="13" fillId="0" borderId="0" xfId="0" applyFont="1"/>
    <xf numFmtId="168" fontId="0" fillId="0" borderId="9" xfId="0" applyNumberFormat="1" applyBorder="1"/>
    <xf numFmtId="168" fontId="0" fillId="0" borderId="5" xfId="0" applyNumberFormat="1" applyBorder="1"/>
    <xf numFmtId="9" fontId="2" fillId="5" borderId="2" xfId="4" applyFont="1" applyFill="1" applyBorder="1"/>
    <xf numFmtId="0" fontId="0" fillId="0" borderId="1" xfId="0" applyFill="1" applyBorder="1"/>
    <xf numFmtId="9" fontId="0" fillId="0" borderId="9" xfId="0" applyNumberFormat="1" applyBorder="1"/>
    <xf numFmtId="0" fontId="0" fillId="0" borderId="15" xfId="0" applyBorder="1" applyAlignment="1">
      <alignment horizontal="center"/>
    </xf>
    <xf numFmtId="0" fontId="0" fillId="0" borderId="0" xfId="0" applyAlignment="1">
      <alignment horizontal="left"/>
    </xf>
    <xf numFmtId="0" fontId="17" fillId="0" borderId="0" xfId="0" applyFont="1"/>
    <xf numFmtId="0" fontId="18" fillId="0" borderId="0" xfId="0" applyFont="1" applyFill="1" applyBorder="1" applyAlignment="1"/>
    <xf numFmtId="0" fontId="17" fillId="0" borderId="0" xfId="0" applyFont="1" applyFill="1" applyBorder="1" applyAlignment="1"/>
    <xf numFmtId="0" fontId="18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3" fontId="18" fillId="0" borderId="0" xfId="0" applyNumberFormat="1" applyFont="1" applyFill="1" applyBorder="1" applyAlignment="1"/>
    <xf numFmtId="3" fontId="0" fillId="0" borderId="0" xfId="0" applyNumberFormat="1" applyFill="1" applyBorder="1"/>
    <xf numFmtId="0" fontId="0" fillId="0" borderId="4" xfId="0" applyFill="1" applyBorder="1"/>
    <xf numFmtId="3" fontId="17" fillId="0" borderId="0" xfId="0" applyNumberFormat="1" applyFont="1"/>
    <xf numFmtId="0" fontId="17" fillId="0" borderId="0" xfId="0" applyFont="1" applyFill="1" applyBorder="1"/>
    <xf numFmtId="0" fontId="18" fillId="0" borderId="0" xfId="0" applyFont="1" applyFill="1" applyBorder="1" applyAlignment="1">
      <alignment horizontal="center"/>
    </xf>
    <xf numFmtId="165" fontId="0" fillId="0" borderId="9" xfId="0" applyNumberFormat="1" applyBorder="1"/>
    <xf numFmtId="0" fontId="2" fillId="5" borderId="8" xfId="0" applyFont="1" applyFill="1" applyBorder="1"/>
    <xf numFmtId="0" fontId="2" fillId="5" borderId="9" xfId="0" applyFont="1" applyFill="1" applyBorder="1"/>
    <xf numFmtId="164" fontId="0" fillId="0" borderId="9" xfId="0" applyNumberFormat="1" applyBorder="1"/>
    <xf numFmtId="164" fontId="0" fillId="0" borderId="0" xfId="0" applyNumberFormat="1"/>
    <xf numFmtId="0" fontId="0" fillId="0" borderId="0" xfId="0" quotePrefix="1"/>
    <xf numFmtId="170" fontId="0" fillId="0" borderId="5" xfId="0" applyNumberFormat="1" applyBorder="1"/>
    <xf numFmtId="164" fontId="2" fillId="0" borderId="8" xfId="0" applyNumberFormat="1" applyFont="1" applyBorder="1"/>
    <xf numFmtId="164" fontId="0" fillId="0" borderId="10" xfId="0" applyNumberFormat="1" applyBorder="1"/>
    <xf numFmtId="164" fontId="2" fillId="0" borderId="4" xfId="0" applyNumberFormat="1" applyFont="1" applyBorder="1"/>
    <xf numFmtId="164" fontId="0" fillId="0" borderId="0" xfId="0" applyNumberFormat="1" applyBorder="1"/>
    <xf numFmtId="164" fontId="2" fillId="0" borderId="6" xfId="0" applyNumberFormat="1" applyFont="1" applyBorder="1"/>
    <xf numFmtId="164" fontId="0" fillId="0" borderId="11" xfId="0" applyNumberFormat="1" applyBorder="1"/>
    <xf numFmtId="164" fontId="2" fillId="0" borderId="11" xfId="0" applyNumberFormat="1" applyFont="1" applyBorder="1"/>
    <xf numFmtId="164" fontId="2" fillId="4" borderId="3" xfId="0" applyNumberFormat="1" applyFont="1" applyFill="1" applyBorder="1"/>
    <xf numFmtId="169" fontId="0" fillId="0" borderId="0" xfId="0" applyNumberFormat="1"/>
    <xf numFmtId="169" fontId="0" fillId="0" borderId="0" xfId="0" applyNumberFormat="1" applyBorder="1"/>
    <xf numFmtId="169" fontId="2" fillId="4" borderId="1" xfId="0" applyNumberFormat="1" applyFont="1" applyFill="1" applyBorder="1"/>
    <xf numFmtId="0" fontId="0" fillId="6" borderId="11" xfId="0" applyFill="1" applyBorder="1"/>
    <xf numFmtId="9" fontId="0" fillId="6" borderId="5" xfId="0" applyNumberFormat="1" applyFill="1" applyBorder="1"/>
    <xf numFmtId="9" fontId="0" fillId="6" borderId="5" xfId="4" applyFont="1" applyFill="1" applyBorder="1"/>
    <xf numFmtId="168" fontId="0" fillId="6" borderId="9" xfId="0" applyNumberFormat="1" applyFill="1" applyBorder="1"/>
    <xf numFmtId="9" fontId="0" fillId="5" borderId="2" xfId="4" applyFont="1" applyFill="1" applyBorder="1"/>
    <xf numFmtId="0" fontId="2" fillId="5" borderId="6" xfId="0" applyFont="1" applyFill="1" applyBorder="1"/>
    <xf numFmtId="170" fontId="2" fillId="5" borderId="7" xfId="0" applyNumberFormat="1" applyFont="1" applyFill="1" applyBorder="1"/>
    <xf numFmtId="164" fontId="0" fillId="0" borderId="21" xfId="0" applyNumberFormat="1" applyBorder="1"/>
    <xf numFmtId="0" fontId="2" fillId="5" borderId="8" xfId="0" applyFont="1" applyFill="1" applyBorder="1" applyAlignment="1">
      <alignment horizontal="left"/>
    </xf>
    <xf numFmtId="168" fontId="0" fillId="5" borderId="2" xfId="0" applyNumberFormat="1" applyFill="1" applyBorder="1"/>
    <xf numFmtId="0" fontId="0" fillId="0" borderId="8" xfId="0" quotePrefix="1" applyFont="1" applyFill="1" applyBorder="1"/>
    <xf numFmtId="0" fontId="2" fillId="0" borderId="0" xfId="0" applyFont="1" applyFill="1" applyBorder="1"/>
    <xf numFmtId="169" fontId="0" fillId="0" borderId="0" xfId="0" applyNumberFormat="1" applyFill="1" applyBorder="1"/>
    <xf numFmtId="0" fontId="2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2" fillId="0" borderId="0" xfId="0" applyFont="1" applyFill="1"/>
    <xf numFmtId="0" fontId="1" fillId="0" borderId="0" xfId="0" applyFont="1" applyFill="1" applyBorder="1" applyAlignment="1">
      <alignment horizontal="center"/>
    </xf>
    <xf numFmtId="0" fontId="0" fillId="0" borderId="8" xfId="0" applyFill="1" applyBorder="1"/>
    <xf numFmtId="0" fontId="0" fillId="6" borderId="15" xfId="0" applyFill="1" applyBorder="1"/>
    <xf numFmtId="9" fontId="0" fillId="0" borderId="5" xfId="4" applyFont="1" applyFill="1" applyBorder="1"/>
    <xf numFmtId="9" fontId="0" fillId="0" borderId="5" xfId="0" applyNumberFormat="1" applyFill="1" applyBorder="1"/>
    <xf numFmtId="164" fontId="0" fillId="0" borderId="0" xfId="0" applyNumberFormat="1" applyFill="1" applyBorder="1"/>
    <xf numFmtId="164" fontId="2" fillId="0" borderId="0" xfId="0" applyNumberFormat="1" applyFont="1" applyFill="1" applyBorder="1"/>
    <xf numFmtId="168" fontId="0" fillId="0" borderId="0" xfId="0" applyNumberFormat="1" applyFill="1" applyBorder="1"/>
    <xf numFmtId="0" fontId="2" fillId="2" borderId="25" xfId="0" applyFont="1" applyFill="1" applyBorder="1"/>
    <xf numFmtId="168" fontId="0" fillId="0" borderId="14" xfId="0" applyNumberFormat="1" applyBorder="1"/>
    <xf numFmtId="3" fontId="0" fillId="0" borderId="0" xfId="0" applyNumberFormat="1" applyFont="1"/>
    <xf numFmtId="0" fontId="0" fillId="0" borderId="0" xfId="0" applyFont="1"/>
    <xf numFmtId="0" fontId="0" fillId="0" borderId="0" xfId="0" applyFont="1" applyFill="1" applyBorder="1"/>
    <xf numFmtId="3" fontId="0" fillId="0" borderId="0" xfId="0" applyNumberFormat="1" applyFont="1" applyFill="1" applyBorder="1"/>
    <xf numFmtId="0" fontId="13" fillId="0" borderId="0" xfId="0" applyFont="1" applyAlignment="1">
      <alignment horizontal="center"/>
    </xf>
    <xf numFmtId="0" fontId="14" fillId="0" borderId="12" xfId="0" applyFont="1" applyFill="1" applyBorder="1"/>
    <xf numFmtId="0" fontId="0" fillId="0" borderId="14" xfId="0" applyBorder="1"/>
    <xf numFmtId="3" fontId="2" fillId="0" borderId="0" xfId="0" applyNumberFormat="1" applyFont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0" fontId="0" fillId="0" borderId="2" xfId="0" applyBorder="1"/>
    <xf numFmtId="168" fontId="0" fillId="0" borderId="3" xfId="0" applyNumberFormat="1" applyBorder="1"/>
    <xf numFmtId="0" fontId="2" fillId="0" borderId="4" xfId="0" applyFont="1" applyBorder="1"/>
    <xf numFmtId="164" fontId="0" fillId="0" borderId="0" xfId="1" applyNumberFormat="1" applyFont="1" applyBorder="1" applyAlignment="1">
      <alignment horizontal="right"/>
    </xf>
    <xf numFmtId="0" fontId="2" fillId="5" borderId="3" xfId="0" applyFont="1" applyFill="1" applyBorder="1"/>
    <xf numFmtId="0" fontId="2" fillId="0" borderId="8" xfId="0" applyFont="1" applyBorder="1"/>
    <xf numFmtId="0" fontId="2" fillId="0" borderId="6" xfId="0" applyFont="1" applyFill="1" applyBorder="1"/>
    <xf numFmtId="0" fontId="2" fillId="0" borderId="16" xfId="0" applyFont="1" applyBorder="1"/>
    <xf numFmtId="0" fontId="2" fillId="0" borderId="30" xfId="0" applyFont="1" applyBorder="1"/>
    <xf numFmtId="0" fontId="0" fillId="0" borderId="5" xfId="0" applyBorder="1"/>
    <xf numFmtId="0" fontId="2" fillId="8" borderId="21" xfId="0" applyFont="1" applyFill="1" applyBorder="1"/>
    <xf numFmtId="3" fontId="0" fillId="0" borderId="9" xfId="0" applyNumberFormat="1" applyBorder="1"/>
    <xf numFmtId="0" fontId="2" fillId="2" borderId="26" xfId="0" applyFont="1" applyFill="1" applyBorder="1"/>
    <xf numFmtId="0" fontId="2" fillId="2" borderId="27" xfId="0" applyFont="1" applyFill="1" applyBorder="1"/>
    <xf numFmtId="0" fontId="0" fillId="0" borderId="15" xfId="0" applyFont="1" applyFill="1" applyBorder="1" applyAlignment="1">
      <alignment horizontal="center"/>
    </xf>
    <xf numFmtId="0" fontId="2" fillId="0" borderId="31" xfId="0" applyFont="1" applyBorder="1"/>
    <xf numFmtId="0" fontId="2" fillId="0" borderId="31" xfId="0" applyFont="1" applyFill="1" applyBorder="1"/>
    <xf numFmtId="0" fontId="2" fillId="5" borderId="10" xfId="0" applyFont="1" applyFill="1" applyBorder="1"/>
    <xf numFmtId="164" fontId="0" fillId="0" borderId="5" xfId="0" applyNumberFormat="1" applyBorder="1"/>
    <xf numFmtId="164" fontId="0" fillId="0" borderId="0" xfId="1" applyNumberFormat="1" applyFont="1" applyFill="1" applyBorder="1" applyAlignment="1">
      <alignment horizontal="right"/>
    </xf>
    <xf numFmtId="0" fontId="2" fillId="0" borderId="31" xfId="0" applyFont="1" applyBorder="1" applyAlignment="1">
      <alignment vertical="center"/>
    </xf>
    <xf numFmtId="0" fontId="0" fillId="0" borderId="15" xfId="0" applyFont="1" applyFill="1" applyBorder="1" applyAlignment="1">
      <alignment horizontal="center" wrapText="1"/>
    </xf>
    <xf numFmtId="168" fontId="0" fillId="0" borderId="21" xfId="0" applyNumberFormat="1" applyBorder="1"/>
    <xf numFmtId="0" fontId="0" fillId="0" borderId="15" xfId="0" applyFont="1" applyFill="1" applyBorder="1" applyAlignment="1">
      <alignment horizontal="center" vertical="center"/>
    </xf>
    <xf numFmtId="0" fontId="2" fillId="2" borderId="25" xfId="0" applyFont="1" applyFill="1" applyBorder="1" applyAlignment="1">
      <alignment horizontal="center"/>
    </xf>
    <xf numFmtId="0" fontId="2" fillId="2" borderId="26" xfId="0" applyFont="1" applyFill="1" applyBorder="1" applyAlignment="1">
      <alignment horizontal="center"/>
    </xf>
    <xf numFmtId="0" fontId="2" fillId="2" borderId="27" xfId="0" applyFont="1" applyFill="1" applyBorder="1" applyAlignment="1">
      <alignment horizontal="center"/>
    </xf>
    <xf numFmtId="3" fontId="0" fillId="0" borderId="33" xfId="0" applyNumberFormat="1" applyBorder="1" applyAlignment="1">
      <alignment horizontal="center"/>
    </xf>
    <xf numFmtId="0" fontId="0" fillId="8" borderId="18" xfId="0" applyFill="1" applyBorder="1"/>
    <xf numFmtId="0" fontId="0" fillId="8" borderId="19" xfId="0" applyFill="1" applyBorder="1"/>
    <xf numFmtId="0" fontId="0" fillId="8" borderId="20" xfId="0" applyFill="1" applyBorder="1"/>
    <xf numFmtId="3" fontId="0" fillId="0" borderId="34" xfId="0" applyNumberFormat="1" applyBorder="1"/>
    <xf numFmtId="0" fontId="0" fillId="8" borderId="19" xfId="0" applyFill="1" applyBorder="1" applyAlignment="1">
      <alignment horizontal="center"/>
    </xf>
    <xf numFmtId="0" fontId="0" fillId="8" borderId="20" xfId="0" applyFill="1" applyBorder="1" applyAlignment="1">
      <alignment horizontal="center"/>
    </xf>
    <xf numFmtId="3" fontId="2" fillId="0" borderId="18" xfId="0" applyNumberFormat="1" applyFont="1" applyBorder="1" applyAlignment="1">
      <alignment horizontal="center"/>
    </xf>
    <xf numFmtId="0" fontId="2" fillId="0" borderId="20" xfId="0" applyFont="1" applyFill="1" applyBorder="1" applyAlignment="1">
      <alignment horizontal="center"/>
    </xf>
    <xf numFmtId="0" fontId="0" fillId="6" borderId="15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3" fontId="0" fillId="0" borderId="15" xfId="0" applyNumberForma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10" borderId="15" xfId="0" applyFill="1" applyBorder="1" applyAlignment="1">
      <alignment horizontal="center"/>
    </xf>
    <xf numFmtId="0" fontId="0" fillId="10" borderId="15" xfId="0" applyFont="1" applyFill="1" applyBorder="1" applyAlignment="1">
      <alignment horizontal="center"/>
    </xf>
    <xf numFmtId="0" fontId="21" fillId="0" borderId="0" xfId="0" applyFont="1"/>
    <xf numFmtId="164" fontId="0" fillId="0" borderId="32" xfId="0" applyNumberFormat="1" applyFont="1" applyBorder="1"/>
    <xf numFmtId="168" fontId="0" fillId="0" borderId="32" xfId="0" applyNumberFormat="1" applyBorder="1"/>
    <xf numFmtId="168" fontId="0" fillId="0" borderId="32" xfId="0" applyNumberFormat="1" applyBorder="1" applyAlignment="1">
      <alignment vertical="center"/>
    </xf>
    <xf numFmtId="168" fontId="0" fillId="0" borderId="28" xfId="0" applyNumberFormat="1" applyBorder="1"/>
    <xf numFmtId="168" fontId="0" fillId="0" borderId="17" xfId="0" applyNumberFormat="1" applyBorder="1"/>
    <xf numFmtId="168" fontId="0" fillId="0" borderId="20" xfId="0" applyNumberFormat="1" applyBorder="1"/>
    <xf numFmtId="164" fontId="0" fillId="0" borderId="5" xfId="1" applyNumberFormat="1" applyFont="1" applyFill="1" applyBorder="1" applyAlignment="1"/>
    <xf numFmtId="164" fontId="0" fillId="0" borderId="7" xfId="1" applyNumberFormat="1" applyFont="1" applyFill="1" applyBorder="1" applyAlignment="1"/>
    <xf numFmtId="164" fontId="0" fillId="0" borderId="9" xfId="0" applyNumberFormat="1" applyFill="1" applyBorder="1"/>
    <xf numFmtId="164" fontId="0" fillId="0" borderId="5" xfId="0" applyNumberFormat="1" applyFill="1" applyBorder="1"/>
    <xf numFmtId="169" fontId="0" fillId="0" borderId="9" xfId="0" applyNumberFormat="1" applyFill="1" applyBorder="1" applyAlignment="1">
      <alignment horizontal="center"/>
    </xf>
    <xf numFmtId="169" fontId="0" fillId="0" borderId="7" xfId="0" applyNumberFormat="1" applyFill="1" applyBorder="1" applyAlignment="1">
      <alignment horizontal="center"/>
    </xf>
    <xf numFmtId="171" fontId="0" fillId="0" borderId="2" xfId="0" applyNumberFormat="1" applyFill="1" applyBorder="1"/>
    <xf numFmtId="169" fontId="0" fillId="0" borderId="2" xfId="0" applyNumberFormat="1" applyFill="1" applyBorder="1"/>
    <xf numFmtId="164" fontId="0" fillId="0" borderId="11" xfId="0" applyNumberFormat="1" applyFill="1" applyBorder="1" applyAlignment="1">
      <alignment horizontal="right"/>
    </xf>
    <xf numFmtId="169" fontId="0" fillId="0" borderId="7" xfId="0" applyNumberFormat="1" applyFill="1" applyBorder="1"/>
    <xf numFmtId="164" fontId="0" fillId="0" borderId="10" xfId="0" applyNumberFormat="1" applyFill="1" applyBorder="1" applyAlignment="1">
      <alignment horizontal="right"/>
    </xf>
    <xf numFmtId="169" fontId="0" fillId="0" borderId="9" xfId="0" applyNumberFormat="1" applyFill="1" applyBorder="1"/>
    <xf numFmtId="169" fontId="0" fillId="0" borderId="5" xfId="0" applyNumberFormat="1" applyFill="1" applyBorder="1"/>
    <xf numFmtId="169" fontId="0" fillId="0" borderId="0" xfId="0" applyNumberFormat="1" applyFill="1" applyBorder="1" applyAlignment="1">
      <alignment horizontal="right"/>
    </xf>
    <xf numFmtId="164" fontId="0" fillId="0" borderId="11" xfId="1" applyNumberFormat="1" applyFont="1" applyFill="1" applyBorder="1" applyAlignment="1">
      <alignment horizontal="right"/>
    </xf>
    <xf numFmtId="164" fontId="0" fillId="0" borderId="10" xfId="1" applyNumberFormat="1" applyFont="1" applyFill="1" applyBorder="1" applyAlignment="1">
      <alignment horizontal="right"/>
    </xf>
    <xf numFmtId="164" fontId="0" fillId="0" borderId="3" xfId="1" applyNumberFormat="1" applyFont="1" applyFill="1" applyBorder="1" applyAlignment="1">
      <alignment horizontal="right"/>
    </xf>
    <xf numFmtId="0" fontId="4" fillId="11" borderId="0" xfId="0" applyFont="1" applyFill="1" applyAlignment="1">
      <alignment horizontal="center"/>
    </xf>
    <xf numFmtId="0" fontId="4" fillId="11" borderId="0" xfId="0" applyFont="1" applyFill="1" applyAlignment="1">
      <alignment horizontal="center" vertical="center"/>
    </xf>
    <xf numFmtId="0" fontId="6" fillId="11" borderId="0" xfId="3" applyFont="1" applyFill="1" applyAlignment="1">
      <alignment horizontal="center"/>
    </xf>
    <xf numFmtId="0" fontId="8" fillId="0" borderId="15" xfId="2" applyFont="1" applyFill="1" applyBorder="1" applyAlignment="1">
      <alignment horizontal="center" vertical="center"/>
    </xf>
    <xf numFmtId="0" fontId="2" fillId="0" borderId="0" xfId="0" applyNumberFormat="1" applyFont="1" applyFill="1" applyBorder="1"/>
    <xf numFmtId="3" fontId="0" fillId="0" borderId="0" xfId="0" applyNumberFormat="1" applyBorder="1" applyAlignment="1">
      <alignment horizontal="center" vertical="center" wrapText="1"/>
    </xf>
    <xf numFmtId="0" fontId="0" fillId="6" borderId="14" xfId="0" applyFill="1" applyBorder="1"/>
    <xf numFmtId="0" fontId="2" fillId="7" borderId="35" xfId="0" applyFont="1" applyFill="1" applyBorder="1"/>
    <xf numFmtId="164" fontId="0" fillId="0" borderId="1" xfId="0" applyNumberFormat="1" applyFont="1" applyBorder="1"/>
    <xf numFmtId="3" fontId="22" fillId="2" borderId="35" xfId="0" applyNumberFormat="1" applyFont="1" applyFill="1" applyBorder="1" applyAlignment="1">
      <alignment horizontal="center"/>
    </xf>
    <xf numFmtId="3" fontId="2" fillId="0" borderId="36" xfId="0" applyNumberFormat="1" applyFon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10" borderId="2" xfId="0" applyFill="1" applyBorder="1" applyAlignment="1">
      <alignment horizontal="center"/>
    </xf>
    <xf numFmtId="0" fontId="2" fillId="0" borderId="2" xfId="0" applyFont="1" applyBorder="1"/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0" fillId="6" borderId="5" xfId="0" applyFill="1" applyBorder="1"/>
    <xf numFmtId="165" fontId="0" fillId="6" borderId="7" xfId="0" applyNumberFormat="1" applyFill="1" applyBorder="1"/>
    <xf numFmtId="172" fontId="0" fillId="0" borderId="5" xfId="0" applyNumberFormat="1" applyFill="1" applyBorder="1"/>
    <xf numFmtId="170" fontId="0" fillId="0" borderId="7" xfId="0" applyNumberFormat="1" applyFill="1" applyBorder="1"/>
    <xf numFmtId="0" fontId="2" fillId="0" borderId="12" xfId="0" applyFont="1" applyBorder="1"/>
    <xf numFmtId="0" fontId="0" fillId="6" borderId="39" xfId="0" applyFill="1" applyBorder="1"/>
    <xf numFmtId="3" fontId="1" fillId="12" borderId="15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165" fontId="0" fillId="0" borderId="2" xfId="0" applyNumberFormat="1" applyBorder="1"/>
    <xf numFmtId="0" fontId="2" fillId="0" borderId="1" xfId="0" applyFont="1" applyFill="1" applyBorder="1"/>
    <xf numFmtId="168" fontId="0" fillId="0" borderId="2" xfId="0" applyNumberFormat="1" applyBorder="1"/>
    <xf numFmtId="9" fontId="2" fillId="0" borderId="0" xfId="4" applyFont="1" applyFill="1" applyBorder="1"/>
    <xf numFmtId="165" fontId="0" fillId="5" borderId="2" xfId="0" applyNumberFormat="1" applyFill="1" applyBorder="1"/>
    <xf numFmtId="0" fontId="0" fillId="0" borderId="18" xfId="0" applyBorder="1"/>
    <xf numFmtId="0" fontId="0" fillId="0" borderId="40" xfId="0" applyBorder="1"/>
    <xf numFmtId="0" fontId="0" fillId="0" borderId="30" xfId="0" applyBorder="1"/>
    <xf numFmtId="168" fontId="0" fillId="0" borderId="41" xfId="0" applyNumberFormat="1" applyBorder="1"/>
    <xf numFmtId="168" fontId="0" fillId="0" borderId="42" xfId="0" applyNumberFormat="1" applyBorder="1"/>
    <xf numFmtId="172" fontId="0" fillId="0" borderId="0" xfId="0" applyNumberFormat="1"/>
    <xf numFmtId="0" fontId="25" fillId="0" borderId="0" xfId="0" applyFont="1"/>
    <xf numFmtId="0" fontId="14" fillId="0" borderId="18" xfId="0" applyFont="1" applyFill="1" applyBorder="1"/>
    <xf numFmtId="0" fontId="2" fillId="8" borderId="33" xfId="0" applyFont="1" applyFill="1" applyBorder="1"/>
    <xf numFmtId="0" fontId="0" fillId="0" borderId="20" xfId="0" applyBorder="1"/>
    <xf numFmtId="164" fontId="0" fillId="0" borderId="33" xfId="0" applyNumberFormat="1" applyBorder="1"/>
    <xf numFmtId="164" fontId="0" fillId="0" borderId="28" xfId="0" applyNumberFormat="1" applyBorder="1"/>
    <xf numFmtId="0" fontId="0" fillId="0" borderId="6" xfId="0" applyFont="1" applyFill="1" applyBorder="1"/>
    <xf numFmtId="164" fontId="0" fillId="0" borderId="7" xfId="0" applyNumberFormat="1" applyFill="1" applyBorder="1"/>
    <xf numFmtId="0" fontId="0" fillId="0" borderId="22" xfId="0" applyFont="1" applyFill="1" applyBorder="1" applyAlignment="1">
      <alignment horizontal="center" vertical="center"/>
    </xf>
    <xf numFmtId="169" fontId="0" fillId="0" borderId="5" xfId="0" applyNumberFormat="1" applyFont="1" applyFill="1" applyBorder="1"/>
    <xf numFmtId="169" fontId="0" fillId="0" borderId="9" xfId="0" applyNumberFormat="1" applyFont="1" applyFill="1" applyBorder="1"/>
    <xf numFmtId="169" fontId="0" fillId="0" borderId="7" xfId="0" applyNumberFormat="1" applyFont="1" applyFill="1" applyBorder="1"/>
    <xf numFmtId="169" fontId="0" fillId="6" borderId="11" xfId="0" applyNumberFormat="1" applyFill="1" applyBorder="1"/>
    <xf numFmtId="0" fontId="27" fillId="0" borderId="21" xfId="0" applyFont="1" applyBorder="1" applyAlignment="1">
      <alignment horizontal="center" vertical="center"/>
    </xf>
    <xf numFmtId="0" fontId="2" fillId="0" borderId="0" xfId="0" applyFont="1" applyBorder="1" applyAlignment="1">
      <alignment vertical="center" textRotation="255"/>
    </xf>
    <xf numFmtId="0" fontId="0" fillId="0" borderId="0" xfId="0" applyFont="1" applyFill="1" applyBorder="1" applyAlignment="1">
      <alignment horizontal="center"/>
    </xf>
    <xf numFmtId="168" fontId="0" fillId="0" borderId="0" xfId="0" applyNumberFormat="1" applyBorder="1"/>
    <xf numFmtId="168" fontId="0" fillId="0" borderId="15" xfId="0" applyNumberFormat="1" applyBorder="1"/>
    <xf numFmtId="0" fontId="0" fillId="7" borderId="0" xfId="0" applyFill="1" applyBorder="1"/>
    <xf numFmtId="0" fontId="2" fillId="0" borderId="0" xfId="0" applyFont="1" applyBorder="1" applyAlignment="1">
      <alignment vertical="center" textRotation="255" wrapText="1"/>
    </xf>
    <xf numFmtId="0" fontId="2" fillId="0" borderId="0" xfId="0" applyFont="1" applyBorder="1" applyAlignment="1">
      <alignment vertical="center" wrapText="1"/>
    </xf>
    <xf numFmtId="0" fontId="27" fillId="0" borderId="14" xfId="0" applyFont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6" borderId="22" xfId="0" applyFill="1" applyBorder="1"/>
    <xf numFmtId="3" fontId="0" fillId="0" borderId="24" xfId="0" applyNumberForma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3" fontId="1" fillId="0" borderId="0" xfId="0" applyNumberFormat="1" applyFont="1" applyFill="1" applyBorder="1" applyAlignment="1">
      <alignment horizontal="center"/>
    </xf>
    <xf numFmtId="0" fontId="2" fillId="0" borderId="21" xfId="0" applyFont="1" applyFill="1" applyBorder="1"/>
    <xf numFmtId="0" fontId="0" fillId="0" borderId="21" xfId="0" applyBorder="1"/>
    <xf numFmtId="168" fontId="0" fillId="0" borderId="43" xfId="0" applyNumberFormat="1" applyBorder="1"/>
    <xf numFmtId="0" fontId="2" fillId="0" borderId="38" xfId="0" applyFont="1" applyBorder="1" applyAlignment="1">
      <alignment vertical="center"/>
    </xf>
    <xf numFmtId="169" fontId="0" fillId="0" borderId="7" xfId="0" applyNumberFormat="1" applyBorder="1"/>
    <xf numFmtId="169" fontId="0" fillId="0" borderId="5" xfId="0" applyNumberFormat="1" applyBorder="1"/>
    <xf numFmtId="0" fontId="2" fillId="0" borderId="25" xfId="0" applyFont="1" applyFill="1" applyBorder="1"/>
    <xf numFmtId="0" fontId="0" fillId="6" borderId="26" xfId="0" applyFill="1" applyBorder="1"/>
    <xf numFmtId="0" fontId="2" fillId="0" borderId="46" xfId="0" quotePrefix="1" applyFont="1" applyBorder="1"/>
    <xf numFmtId="0" fontId="0" fillId="6" borderId="23" xfId="0" applyFill="1" applyBorder="1"/>
    <xf numFmtId="164" fontId="0" fillId="0" borderId="47" xfId="0" applyNumberFormat="1" applyBorder="1"/>
    <xf numFmtId="0" fontId="2" fillId="2" borderId="21" xfId="0" applyFont="1" applyFill="1" applyBorder="1"/>
    <xf numFmtId="0" fontId="0" fillId="8" borderId="0" xfId="0" applyFill="1"/>
    <xf numFmtId="0" fontId="1" fillId="8" borderId="0" xfId="0" applyFont="1" applyFill="1" applyAlignment="1">
      <alignment horizontal="center"/>
    </xf>
    <xf numFmtId="3" fontId="1" fillId="8" borderId="0" xfId="0" applyNumberFormat="1" applyFont="1" applyFill="1" applyBorder="1" applyAlignment="1">
      <alignment horizontal="center"/>
    </xf>
    <xf numFmtId="169" fontId="0" fillId="10" borderId="7" xfId="0" applyNumberFormat="1" applyFill="1" applyBorder="1"/>
    <xf numFmtId="0" fontId="1" fillId="12" borderId="45" xfId="0" applyFont="1" applyFill="1" applyBorder="1" applyAlignment="1">
      <alignment horizontal="center"/>
    </xf>
    <xf numFmtId="0" fontId="2" fillId="2" borderId="35" xfId="0" applyFont="1" applyFill="1" applyBorder="1" applyAlignment="1">
      <alignment vertical="center"/>
    </xf>
    <xf numFmtId="0" fontId="27" fillId="0" borderId="12" xfId="0" applyFont="1" applyBorder="1" applyAlignment="1">
      <alignment horizontal="center" vertical="center"/>
    </xf>
    <xf numFmtId="0" fontId="2" fillId="0" borderId="15" xfId="0" applyFont="1" applyBorder="1" applyAlignment="1">
      <alignment vertical="center"/>
    </xf>
    <xf numFmtId="0" fontId="28" fillId="8" borderId="0" xfId="0" applyFont="1" applyFill="1" applyAlignment="1">
      <alignment vertical="center"/>
    </xf>
    <xf numFmtId="0" fontId="0" fillId="8" borderId="1" xfId="0" applyFill="1" applyBorder="1"/>
    <xf numFmtId="164" fontId="0" fillId="0" borderId="6" xfId="0" applyNumberFormat="1" applyBorder="1"/>
    <xf numFmtId="0" fontId="0" fillId="8" borderId="0" xfId="0" applyNumberFormat="1" applyFill="1" applyBorder="1" applyAlignment="1">
      <alignment vertical="center"/>
    </xf>
    <xf numFmtId="0" fontId="0" fillId="8" borderId="0" xfId="0" applyNumberFormat="1" applyFill="1" applyBorder="1"/>
    <xf numFmtId="0" fontId="2" fillId="6" borderId="0" xfId="0" applyFont="1" applyFill="1"/>
    <xf numFmtId="0" fontId="2" fillId="6" borderId="38" xfId="0" applyFont="1" applyFill="1" applyBorder="1"/>
    <xf numFmtId="0" fontId="2" fillId="6" borderId="18" xfId="0" applyFont="1" applyFill="1" applyBorder="1"/>
    <xf numFmtId="0" fontId="2" fillId="6" borderId="0" xfId="0" applyFont="1" applyFill="1" applyBorder="1"/>
    <xf numFmtId="0" fontId="2" fillId="6" borderId="19" xfId="0" applyFont="1" applyFill="1" applyBorder="1"/>
    <xf numFmtId="0" fontId="2" fillId="6" borderId="20" xfId="0" applyFont="1" applyFill="1" applyBorder="1"/>
    <xf numFmtId="0" fontId="0" fillId="0" borderId="10" xfId="0" applyFill="1" applyBorder="1"/>
    <xf numFmtId="169" fontId="0" fillId="0" borderId="10" xfId="0" applyNumberFormat="1" applyFill="1" applyBorder="1" applyAlignment="1">
      <alignment horizontal="right"/>
    </xf>
    <xf numFmtId="169" fontId="0" fillId="0" borderId="10" xfId="0" applyNumberFormat="1" applyFill="1" applyBorder="1"/>
    <xf numFmtId="0" fontId="0" fillId="0" borderId="15" xfId="0" applyBorder="1" applyAlignment="1">
      <alignment horizontal="center" vertical="center"/>
    </xf>
    <xf numFmtId="0" fontId="0" fillId="6" borderId="1" xfId="0" applyFill="1" applyBorder="1" applyAlignment="1">
      <alignment horizontal="center"/>
    </xf>
    <xf numFmtId="0" fontId="0" fillId="10" borderId="1" xfId="0" applyFill="1" applyBorder="1" applyAlignment="1">
      <alignment horizontal="center"/>
    </xf>
    <xf numFmtId="169" fontId="17" fillId="0" borderId="10" xfId="0" applyNumberFormat="1" applyFont="1" applyFill="1" applyBorder="1"/>
    <xf numFmtId="0" fontId="22" fillId="2" borderId="12" xfId="0" applyFont="1" applyFill="1" applyBorder="1"/>
    <xf numFmtId="0" fontId="30" fillId="2" borderId="12" xfId="0" applyFont="1" applyFill="1" applyBorder="1"/>
    <xf numFmtId="0" fontId="18" fillId="0" borderId="0" xfId="0" applyFont="1" applyAlignment="1">
      <alignment horizontal="center" vertical="center" wrapText="1"/>
    </xf>
    <xf numFmtId="0" fontId="2" fillId="13" borderId="0" xfId="0" applyFont="1" applyFill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0" fillId="14" borderId="0" xfId="0" applyFill="1" applyAlignment="1">
      <alignment horizontal="center" vertical="center"/>
    </xf>
    <xf numFmtId="0" fontId="0" fillId="0" borderId="0" xfId="0" applyFont="1" applyAlignment="1">
      <alignment horizontal="center" wrapText="1"/>
    </xf>
    <xf numFmtId="0" fontId="0" fillId="0" borderId="0" xfId="0" applyFont="1" applyAlignment="1">
      <alignment horizontal="center" vertical="center"/>
    </xf>
    <xf numFmtId="0" fontId="32" fillId="0" borderId="0" xfId="0" applyFont="1" applyAlignment="1">
      <alignment horizontal="center"/>
    </xf>
    <xf numFmtId="0" fontId="33" fillId="0" borderId="0" xfId="0" applyFont="1" applyAlignment="1">
      <alignment horizontal="center" vertical="center"/>
    </xf>
    <xf numFmtId="0" fontId="34" fillId="0" borderId="0" xfId="0" applyFont="1" applyAlignment="1">
      <alignment horizontal="center" wrapText="1"/>
    </xf>
    <xf numFmtId="0" fontId="0" fillId="0" borderId="0" xfId="0" applyFont="1" applyAlignment="1">
      <alignment horizontal="center"/>
    </xf>
    <xf numFmtId="0" fontId="34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2" fillId="16" borderId="0" xfId="0" applyFon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2" fillId="17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73" fontId="2" fillId="0" borderId="0" xfId="1" applyNumberFormat="1" applyFont="1"/>
    <xf numFmtId="9" fontId="0" fillId="0" borderId="0" xfId="4" applyFont="1" applyAlignment="1">
      <alignment horizontal="center" vertical="center"/>
    </xf>
    <xf numFmtId="0" fontId="2" fillId="0" borderId="0" xfId="0" applyFont="1" applyAlignment="1">
      <alignment vertical="center"/>
    </xf>
    <xf numFmtId="173" fontId="2" fillId="0" borderId="0" xfId="1" applyNumberFormat="1" applyFont="1" applyAlignment="1">
      <alignment vertical="center"/>
    </xf>
    <xf numFmtId="173" fontId="0" fillId="0" borderId="0" xfId="0" applyNumberFormat="1"/>
    <xf numFmtId="173" fontId="0" fillId="0" borderId="2" xfId="0" applyNumberFormat="1" applyBorder="1"/>
    <xf numFmtId="3" fontId="17" fillId="0" borderId="15" xfId="0" applyNumberFormat="1" applyFont="1" applyBorder="1" applyAlignment="1">
      <alignment horizontal="center"/>
    </xf>
    <xf numFmtId="173" fontId="18" fillId="5" borderId="2" xfId="1" applyNumberFormat="1" applyFont="1" applyFill="1" applyBorder="1"/>
    <xf numFmtId="173" fontId="17" fillId="0" borderId="7" xfId="1" applyNumberFormat="1" applyFont="1" applyBorder="1"/>
    <xf numFmtId="0" fontId="17" fillId="0" borderId="15" xfId="0" applyFont="1" applyBorder="1" applyAlignment="1">
      <alignment horizontal="center"/>
    </xf>
    <xf numFmtId="0" fontId="17" fillId="0" borderId="4" xfId="0" applyFont="1" applyFill="1" applyBorder="1"/>
    <xf numFmtId="169" fontId="17" fillId="0" borderId="9" xfId="0" applyNumberFormat="1" applyFont="1" applyBorder="1"/>
    <xf numFmtId="169" fontId="17" fillId="0" borderId="5" xfId="0" applyNumberFormat="1" applyFont="1" applyBorder="1"/>
    <xf numFmtId="170" fontId="17" fillId="0" borderId="5" xfId="0" applyNumberFormat="1" applyFont="1" applyBorder="1"/>
    <xf numFmtId="173" fontId="17" fillId="0" borderId="10" xfId="1" applyNumberFormat="1" applyFont="1" applyFill="1" applyBorder="1"/>
    <xf numFmtId="169" fontId="17" fillId="0" borderId="5" xfId="0" applyNumberFormat="1" applyFont="1" applyBorder="1" applyAlignment="1">
      <alignment horizontal="center" vertical="center"/>
    </xf>
    <xf numFmtId="173" fontId="17" fillId="0" borderId="0" xfId="1" applyNumberFormat="1" applyFont="1" applyFill="1" applyBorder="1"/>
    <xf numFmtId="173" fontId="17" fillId="0" borderId="0" xfId="1" applyNumberFormat="1" applyFont="1" applyBorder="1"/>
    <xf numFmtId="0" fontId="17" fillId="0" borderId="8" xfId="0" applyFont="1" applyFill="1" applyBorder="1"/>
    <xf numFmtId="169" fontId="17" fillId="0" borderId="9" xfId="0" applyNumberFormat="1" applyFont="1" applyBorder="1" applyAlignment="1">
      <alignment horizontal="center" vertical="center"/>
    </xf>
    <xf numFmtId="0" fontId="17" fillId="0" borderId="6" xfId="0" applyFont="1" applyFill="1" applyBorder="1"/>
    <xf numFmtId="173" fontId="17" fillId="0" borderId="11" xfId="1" applyNumberFormat="1" applyFont="1" applyBorder="1"/>
    <xf numFmtId="169" fontId="17" fillId="0" borderId="7" xfId="0" applyNumberFormat="1" applyFont="1" applyBorder="1" applyAlignment="1">
      <alignment horizontal="center" vertical="center"/>
    </xf>
    <xf numFmtId="164" fontId="17" fillId="0" borderId="9" xfId="0" applyNumberFormat="1" applyFont="1" applyFill="1" applyBorder="1" applyAlignment="1"/>
    <xf numFmtId="164" fontId="17" fillId="0" borderId="5" xfId="0" applyNumberFormat="1" applyFont="1" applyBorder="1"/>
    <xf numFmtId="0" fontId="2" fillId="19" borderId="0" xfId="0" applyFon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18" borderId="0" xfId="0" applyFont="1" applyFill="1" applyAlignment="1">
      <alignment horizontal="center" vertical="center"/>
    </xf>
    <xf numFmtId="0" fontId="2" fillId="13" borderId="0" xfId="0" applyFont="1" applyFill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2" fillId="9" borderId="0" xfId="0" applyFont="1" applyFill="1" applyAlignment="1">
      <alignment horizontal="center" vertical="center"/>
    </xf>
    <xf numFmtId="0" fontId="2" fillId="15" borderId="0" xfId="0" applyFont="1" applyFill="1" applyAlignment="1">
      <alignment horizontal="center" vertical="center"/>
    </xf>
    <xf numFmtId="0" fontId="2" fillId="16" borderId="0" xfId="0" applyFont="1" applyFill="1" applyAlignment="1">
      <alignment horizontal="center" vertical="center"/>
    </xf>
    <xf numFmtId="0" fontId="2" fillId="17" borderId="0" xfId="0" applyFont="1" applyFill="1" applyAlignment="1">
      <alignment horizontal="center" vertical="center"/>
    </xf>
    <xf numFmtId="0" fontId="29" fillId="8" borderId="26" xfId="0" applyFont="1" applyFill="1" applyBorder="1" applyAlignment="1">
      <alignment horizontal="center" vertical="center"/>
    </xf>
    <xf numFmtId="0" fontId="29" fillId="8" borderId="0" xfId="0" applyFont="1" applyFill="1" applyBorder="1" applyAlignment="1">
      <alignment horizontal="center" vertical="center"/>
    </xf>
    <xf numFmtId="0" fontId="1" fillId="8" borderId="26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28" fillId="8" borderId="0" xfId="0" applyFont="1" applyFill="1" applyAlignment="1">
      <alignment horizontal="center" vertical="center"/>
    </xf>
    <xf numFmtId="0" fontId="29" fillId="8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23" fillId="0" borderId="35" xfId="0" applyFont="1" applyBorder="1" applyAlignment="1">
      <alignment horizontal="center" vertical="center" textRotation="255"/>
    </xf>
    <xf numFmtId="0" fontId="23" fillId="0" borderId="37" xfId="0" applyFont="1" applyBorder="1" applyAlignment="1">
      <alignment horizontal="center" vertical="center" textRotation="255"/>
    </xf>
    <xf numFmtId="0" fontId="23" fillId="0" borderId="33" xfId="0" applyFont="1" applyBorder="1" applyAlignment="1">
      <alignment horizontal="center" vertical="center" textRotation="255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0" fillId="7" borderId="15" xfId="0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27" fillId="0" borderId="28" xfId="0" applyFont="1" applyBorder="1" applyAlignment="1">
      <alignment horizontal="center" vertical="center"/>
    </xf>
    <xf numFmtId="0" fontId="27" fillId="0" borderId="20" xfId="0" applyFont="1" applyBorder="1" applyAlignment="1">
      <alignment horizontal="center" vertical="center"/>
    </xf>
    <xf numFmtId="0" fontId="24" fillId="0" borderId="25" xfId="0" applyFont="1" applyBorder="1" applyAlignment="1">
      <alignment horizontal="center" vertical="center" wrapText="1"/>
    </xf>
    <xf numFmtId="0" fontId="24" fillId="0" borderId="27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28" xfId="0" applyFont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26" fillId="0" borderId="18" xfId="0" applyFont="1" applyBorder="1" applyAlignment="1">
      <alignment horizontal="center" vertical="center"/>
    </xf>
    <xf numFmtId="0" fontId="26" fillId="0" borderId="20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 textRotation="255"/>
    </xf>
    <xf numFmtId="0" fontId="2" fillId="0" borderId="37" xfId="0" applyFont="1" applyBorder="1" applyAlignment="1">
      <alignment horizontal="center" vertical="center" textRotation="255"/>
    </xf>
    <xf numFmtId="0" fontId="2" fillId="0" borderId="33" xfId="0" applyFont="1" applyBorder="1" applyAlignment="1">
      <alignment horizontal="center" vertical="center" textRotation="255"/>
    </xf>
    <xf numFmtId="0" fontId="2" fillId="0" borderId="35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7" borderId="12" xfId="0" applyFont="1" applyFill="1" applyBorder="1" applyAlignment="1">
      <alignment horizontal="left"/>
    </xf>
    <xf numFmtId="0" fontId="2" fillId="7" borderId="13" xfId="0" applyFont="1" applyFill="1" applyBorder="1" applyAlignment="1">
      <alignment horizontal="left"/>
    </xf>
    <xf numFmtId="0" fontId="2" fillId="9" borderId="8" xfId="0" applyFont="1" applyFill="1" applyBorder="1" applyAlignment="1">
      <alignment horizontal="center"/>
    </xf>
    <xf numFmtId="0" fontId="2" fillId="9" borderId="9" xfId="0" applyFont="1" applyFill="1" applyBorder="1" applyAlignment="1">
      <alignment horizontal="center"/>
    </xf>
    <xf numFmtId="0" fontId="2" fillId="9" borderId="1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0" borderId="27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7" fillId="0" borderId="35" xfId="0" applyFont="1" applyBorder="1" applyAlignment="1">
      <alignment horizontal="center" vertical="center"/>
    </xf>
    <xf numFmtId="0" fontId="27" fillId="0" borderId="33" xfId="0" applyFont="1" applyBorder="1" applyAlignment="1">
      <alignment horizontal="center" vertical="center"/>
    </xf>
    <xf numFmtId="3" fontId="1" fillId="12" borderId="48" xfId="0" applyNumberFormat="1" applyFont="1" applyFill="1" applyBorder="1" applyAlignment="1">
      <alignment horizontal="center" vertical="center"/>
    </xf>
    <xf numFmtId="3" fontId="1" fillId="12" borderId="49" xfId="0" applyNumberFormat="1" applyFont="1" applyFill="1" applyBorder="1" applyAlignment="1">
      <alignment horizontal="center" vertical="center"/>
    </xf>
    <xf numFmtId="3" fontId="1" fillId="12" borderId="46" xfId="0" applyNumberFormat="1" applyFont="1" applyFill="1" applyBorder="1" applyAlignment="1">
      <alignment horizontal="center" vertical="center"/>
    </xf>
    <xf numFmtId="3" fontId="0" fillId="0" borderId="29" xfId="0" applyNumberFormat="1" applyBorder="1" applyAlignment="1">
      <alignment horizontal="center" vertical="center" wrapText="1"/>
    </xf>
    <xf numFmtId="3" fontId="0" fillId="0" borderId="24" xfId="0" applyNumberFormat="1" applyBorder="1" applyAlignment="1">
      <alignment horizontal="center" vertical="center" wrapText="1"/>
    </xf>
    <xf numFmtId="3" fontId="0" fillId="0" borderId="44" xfId="0" applyNumberForma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textRotation="255"/>
    </xf>
    <xf numFmtId="0" fontId="2" fillId="0" borderId="28" xfId="0" applyFont="1" applyBorder="1" applyAlignment="1">
      <alignment horizontal="center" vertical="center" textRotation="255"/>
    </xf>
    <xf numFmtId="0" fontId="2" fillId="0" borderId="20" xfId="0" applyFont="1" applyBorder="1" applyAlignment="1">
      <alignment horizontal="center" vertical="center" textRotation="255"/>
    </xf>
    <xf numFmtId="3" fontId="0" fillId="0" borderId="23" xfId="0" applyNumberFormat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6" fillId="0" borderId="1" xfId="2" applyFont="1" applyFill="1" applyBorder="1" applyAlignment="1">
      <alignment horizontal="center" vertical="top" wrapText="1"/>
    </xf>
    <xf numFmtId="0" fontId="6" fillId="0" borderId="3" xfId="2" applyFont="1" applyFill="1" applyBorder="1" applyAlignment="1">
      <alignment horizontal="center" vertical="top"/>
    </xf>
    <xf numFmtId="0" fontId="6" fillId="0" borderId="2" xfId="2" applyFont="1" applyFill="1" applyBorder="1" applyAlignment="1">
      <alignment horizontal="center" vertical="top"/>
    </xf>
    <xf numFmtId="0" fontId="4" fillId="0" borderId="1" xfId="0" applyFont="1" applyFill="1" applyBorder="1" applyAlignment="1">
      <alignment horizontal="center" vertical="top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6" fillId="0" borderId="1" xfId="2" applyFont="1" applyFill="1" applyBorder="1" applyAlignment="1">
      <alignment horizontal="center" vertical="top"/>
    </xf>
    <xf numFmtId="0" fontId="4" fillId="0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</cellXfs>
  <cellStyles count="7">
    <cellStyle name="Collegamento ipertestuale" xfId="5" builtinId="8" hidden="1"/>
    <cellStyle name="Collegamento ipertestuale visitato" xfId="6" builtinId="9" hidden="1"/>
    <cellStyle name="Migliaia" xfId="1" builtinId="3"/>
    <cellStyle name="Normale" xfId="0" builtinId="0"/>
    <cellStyle name="Normale 3 2" xfId="2"/>
    <cellStyle name="Normale 4" xfId="3"/>
    <cellStyle name="Percentuale" xfId="4" builtinId="5"/>
  </cellStyles>
  <dxfs count="41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center" textRotation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b val="0"/>
      </font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wrapText="1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'Foglio di calcolo'!$D$126:$X$126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numCache>
            </c:numRef>
          </c:xVal>
          <c:yVal>
            <c:numRef>
              <c:f>'Foglio di calcolo'!$D$141:$X$141</c:f>
              <c:numCache>
                <c:formatCode>_-* #,##0\ "€"_-;\-* #,##0\ "€"_-;_-* "-"\ "€"_-;_-@_-</c:formatCode>
                <c:ptCount val="21"/>
                <c:pt idx="0">
                  <c:v>-92480</c:v>
                </c:pt>
                <c:pt idx="1">
                  <c:v>-74800.213592233005</c:v>
                </c:pt>
                <c:pt idx="2">
                  <c:v>-57635.372419643696</c:v>
                </c:pt>
                <c:pt idx="3">
                  <c:v>-40970.478077323976</c:v>
                </c:pt>
                <c:pt idx="4">
                  <c:v>-24790.969007110652</c:v>
                </c:pt>
                <c:pt idx="5">
                  <c:v>-9082.7077738938351</c:v>
                </c:pt>
                <c:pt idx="6">
                  <c:v>6168.0312874817155</c:v>
                </c:pt>
                <c:pt idx="7">
                  <c:v>20974.57406551623</c:v>
                </c:pt>
                <c:pt idx="8">
                  <c:v>35349.858316035177</c:v>
                </c:pt>
                <c:pt idx="9">
                  <c:v>49306.44496702445</c:v>
                </c:pt>
                <c:pt idx="10">
                  <c:v>62856.5290941985</c:v>
                </c:pt>
                <c:pt idx="11">
                  <c:v>76011.950576891744</c:v>
                </c:pt>
                <c:pt idx="12">
                  <c:v>88784.204443584225</c:v>
                </c:pt>
                <c:pt idx="13">
                  <c:v>101184.4509161012</c:v>
                </c:pt>
                <c:pt idx="14">
                  <c:v>113223.5251612633</c:v>
                </c:pt>
                <c:pt idx="15">
                  <c:v>124911.94675850806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081-4944-83C2-3755F1123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238720"/>
        <c:axId val="131239296"/>
      </c:scatterChart>
      <c:valAx>
        <c:axId val="131238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31239296"/>
        <c:crosses val="autoZero"/>
        <c:crossBetween val="midCat"/>
      </c:valAx>
      <c:valAx>
        <c:axId val="131239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\ &quot;€&quot;_-;\-* #,##0\ &quot;€&quot;_-;_-* &quot;-&quot;\ &quot;€&quot;_-;_-@_-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312387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5765394</xdr:colOff>
      <xdr:row>145</xdr:row>
      <xdr:rowOff>152399</xdr:rowOff>
    </xdr:from>
    <xdr:to>
      <xdr:col>8</xdr:col>
      <xdr:colOff>912785</xdr:colOff>
      <xdr:row>163</xdr:row>
      <xdr:rowOff>148812</xdr:rowOff>
    </xdr:to>
    <xdr:graphicFrame macro="">
      <xdr:nvGraphicFramePr>
        <xdr:cNvPr id="3" name="Gra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448829</xdr:colOff>
      <xdr:row>70</xdr:row>
      <xdr:rowOff>315324</xdr:rowOff>
    </xdr:from>
    <xdr:ext cx="4394407" cy="3106564"/>
    <xdr:pic>
      <xdr:nvPicPr>
        <xdr:cNvPr id="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4743" t="11728" r="10884" b="15678"/>
        <a:stretch>
          <a:fillRect/>
        </a:stretch>
      </xdr:blipFill>
      <xdr:spPr bwMode="auto">
        <a:xfrm>
          <a:off x="17735343" y="28639953"/>
          <a:ext cx="4394407" cy="310656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436046</xdr:colOff>
      <xdr:row>30</xdr:row>
      <xdr:rowOff>31269</xdr:rowOff>
    </xdr:from>
    <xdr:ext cx="3445045" cy="2318970"/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7888" t="12449" r="20000" b="2665"/>
        <a:stretch>
          <a:fillRect/>
        </a:stretch>
      </xdr:blipFill>
      <xdr:spPr bwMode="auto">
        <a:xfrm>
          <a:off x="17722560" y="12397440"/>
          <a:ext cx="3445045" cy="2318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11</xdr:col>
      <xdr:colOff>987136</xdr:colOff>
      <xdr:row>44</xdr:row>
      <xdr:rowOff>11958</xdr:rowOff>
    </xdr:from>
    <xdr:ext cx="8410059" cy="2558726"/>
    <xdr:pic>
      <xdr:nvPicPr>
        <xdr:cNvPr id="4" name="Immagine 3"/>
        <xdr:cNvPicPr/>
      </xdr:nvPicPr>
      <xdr:blipFill>
        <a:blip xmlns:r="http://schemas.openxmlformats.org/officeDocument/2006/relationships" r:embed="rId3" cstate="print"/>
        <a:srcRect t="23641" b="19622"/>
        <a:stretch>
          <a:fillRect/>
        </a:stretch>
      </xdr:blipFill>
      <xdr:spPr bwMode="auto">
        <a:xfrm>
          <a:off x="7311736" y="8058678"/>
          <a:ext cx="8410059" cy="25587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319940</xdr:colOff>
      <xdr:row>84</xdr:row>
      <xdr:rowOff>311452</xdr:rowOff>
    </xdr:from>
    <xdr:ext cx="8462648" cy="1969528"/>
    <xdr:pic>
      <xdr:nvPicPr>
        <xdr:cNvPr id="5" name="Immagine 4"/>
        <xdr:cNvPicPr/>
      </xdr:nvPicPr>
      <xdr:blipFill>
        <a:blip xmlns:r="http://schemas.openxmlformats.org/officeDocument/2006/relationships" r:embed="rId4" cstate="print"/>
        <a:srcRect t="19622" b="16076"/>
        <a:stretch>
          <a:fillRect/>
        </a:stretch>
      </xdr:blipFill>
      <xdr:spPr bwMode="auto">
        <a:xfrm>
          <a:off x="7025540" y="15543832"/>
          <a:ext cx="8462648" cy="19695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103910</xdr:colOff>
      <xdr:row>96</xdr:row>
      <xdr:rowOff>129061</xdr:rowOff>
    </xdr:from>
    <xdr:ext cx="6483804" cy="3061348"/>
    <xdr:pic>
      <xdr:nvPicPr>
        <xdr:cNvPr id="6" name="Immagine 5"/>
        <xdr:cNvPicPr/>
      </xdr:nvPicPr>
      <xdr:blipFill>
        <a:blip xmlns:r="http://schemas.openxmlformats.org/officeDocument/2006/relationships" r:embed="rId5" cstate="print"/>
        <a:srcRect l="22817" t="14657" r="22999" b="10116"/>
        <a:stretch>
          <a:fillRect/>
        </a:stretch>
      </xdr:blipFill>
      <xdr:spPr bwMode="auto">
        <a:xfrm>
          <a:off x="7419110" y="17685541"/>
          <a:ext cx="6483804" cy="3061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219846</xdr:colOff>
      <xdr:row>111</xdr:row>
      <xdr:rowOff>233315</xdr:rowOff>
    </xdr:from>
    <xdr:ext cx="7967031" cy="2196092"/>
    <xdr:pic>
      <xdr:nvPicPr>
        <xdr:cNvPr id="7" name="Immagine 6"/>
        <xdr:cNvPicPr/>
      </xdr:nvPicPr>
      <xdr:blipFill>
        <a:blip xmlns:r="http://schemas.openxmlformats.org/officeDocument/2006/relationships" r:embed="rId6" cstate="print"/>
        <a:srcRect l="19699" t="20095" r="20045" b="14421"/>
        <a:stretch>
          <a:fillRect/>
        </a:stretch>
      </xdr:blipFill>
      <xdr:spPr bwMode="auto">
        <a:xfrm>
          <a:off x="6925446" y="20479655"/>
          <a:ext cx="7967031" cy="2196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550351</xdr:colOff>
      <xdr:row>127</xdr:row>
      <xdr:rowOff>26940</xdr:rowOff>
    </xdr:from>
    <xdr:ext cx="3674998" cy="3490866"/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31378" t="10974" r="25167" b="3708"/>
        <a:stretch>
          <a:fillRect/>
        </a:stretch>
      </xdr:blipFill>
      <xdr:spPr bwMode="auto">
        <a:xfrm>
          <a:off x="7255951" y="23252700"/>
          <a:ext cx="3674998" cy="349086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10</xdr:col>
      <xdr:colOff>765848</xdr:colOff>
      <xdr:row>16</xdr:row>
      <xdr:rowOff>94536</xdr:rowOff>
    </xdr:from>
    <xdr:ext cx="8473924" cy="247191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21904" t="36931" r="21635" b="33559"/>
        <a:stretch>
          <a:fillRect/>
        </a:stretch>
      </xdr:blipFill>
      <xdr:spPr bwMode="auto">
        <a:xfrm>
          <a:off x="6701828" y="3020616"/>
          <a:ext cx="8473924" cy="247191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787014</xdr:colOff>
      <xdr:row>3</xdr:row>
      <xdr:rowOff>158037</xdr:rowOff>
    </xdr:from>
    <xdr:ext cx="8480578" cy="2449539"/>
    <xdr:pic>
      <xdr:nvPicPr>
        <xdr:cNvPr id="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21904" t="36931" r="21635" b="33559"/>
        <a:stretch>
          <a:fillRect/>
        </a:stretch>
      </xdr:blipFill>
      <xdr:spPr bwMode="auto">
        <a:xfrm>
          <a:off x="6707754" y="706677"/>
          <a:ext cx="8480578" cy="244953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111125</xdr:colOff>
      <xdr:row>57</xdr:row>
      <xdr:rowOff>185208</xdr:rowOff>
    </xdr:from>
    <xdr:ext cx="8424575" cy="2352937"/>
    <xdr:pic>
      <xdr:nvPicPr>
        <xdr:cNvPr id="11" name="Immagine 10"/>
        <xdr:cNvPicPr/>
      </xdr:nvPicPr>
      <xdr:blipFill>
        <a:blip xmlns:r="http://schemas.openxmlformats.org/officeDocument/2006/relationships" r:embed="rId3" cstate="print"/>
        <a:srcRect t="23641" b="19622"/>
        <a:stretch>
          <a:fillRect/>
        </a:stretch>
      </xdr:blipFill>
      <xdr:spPr bwMode="auto">
        <a:xfrm>
          <a:off x="6816725" y="10609368"/>
          <a:ext cx="8424575" cy="23529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llegamentoEsternoRipristinato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tivita"/>
      <sheetName val="Calcoli"/>
    </sheetNames>
    <sheetDataSet>
      <sheetData sheetId="0">
        <row r="6">
          <cell r="C6">
            <v>38964</v>
          </cell>
        </row>
        <row r="7">
          <cell r="C7">
            <v>39202</v>
          </cell>
          <cell r="H7" t="e">
            <v>#REF!</v>
          </cell>
        </row>
      </sheetData>
      <sheetData sheetId="1">
        <row r="21">
          <cell r="IE21" t="str">
            <v>ERRORE!:   più di 10 attività seguenti</v>
          </cell>
          <cell r="IF21" t="str">
            <v>ATTENZIONE!:</v>
          </cell>
          <cell r="IG21" t="str">
            <v>Data anteriore all'inizio del progetto</v>
          </cell>
        </row>
      </sheetData>
    </sheetDataSet>
  </externalBook>
</externalLink>
</file>

<file path=xl/tables/table1.xml><?xml version="1.0" encoding="utf-8"?>
<table xmlns="http://schemas.openxmlformats.org/spreadsheetml/2006/main" id="1" name="Tabella332" displayName="Tabella332" ref="A28:E40" totalsRowShown="0" headerRowDxfId="40" dataDxfId="39">
  <tableColumns count="5">
    <tableColumn id="1" name="Parametro" dataDxfId="38"/>
    <tableColumn id="2" name="Descrizione" dataDxfId="37"/>
    <tableColumn id="3" name="Unità di misura" dataDxfId="36"/>
    <tableColumn id="4" name="Valore" dataDxfId="35"/>
    <tableColumn id="5" name="Colonna1" dataDxfId="34"/>
  </tableColumns>
  <tableStyleInfo name="TableStyleLight21" showFirstColumn="0" showLastColumn="0" showRowStripes="1" showColumnStripes="0"/>
</table>
</file>

<file path=xl/tables/table2.xml><?xml version="1.0" encoding="utf-8"?>
<table xmlns="http://schemas.openxmlformats.org/spreadsheetml/2006/main" id="2" name="Tabella4104" displayName="Tabella4104" ref="A45:D61" totalsRowShown="0" headerRowDxfId="33" dataDxfId="32">
  <tableColumns count="4">
    <tableColumn id="1" name="Parametro" dataDxfId="31"/>
    <tableColumn id="2" name="Descrizione" dataDxfId="30"/>
    <tableColumn id="3" name="Unità di misura" dataDxfId="29"/>
    <tableColumn id="4" name="Valore" dataDxfId="28"/>
  </tableColumns>
  <tableStyleInfo name="TableStyleLight16" showFirstColumn="0" showLastColumn="0" showRowStripes="1" showColumnStripes="0"/>
</table>
</file>

<file path=xl/tables/table3.xml><?xml version="1.0" encoding="utf-8"?>
<table xmlns="http://schemas.openxmlformats.org/spreadsheetml/2006/main" id="3" name="Tabella5115" displayName="Tabella5115" ref="A118:D127" totalsRowShown="0" headerRowDxfId="27" dataDxfId="26">
  <tableColumns count="4">
    <tableColumn id="1" name="Parametro" dataDxfId="25"/>
    <tableColumn id="2" name="Descrizione" dataDxfId="24"/>
    <tableColumn id="3" name="Unità di misura" dataDxfId="23"/>
    <tableColumn id="4" name="Valore" dataDxfId="22"/>
  </tableColumns>
  <tableStyleInfo name="TableStyleLight19" showFirstColumn="0" showLastColumn="0" showRowStripes="1" showColumnStripes="0"/>
</table>
</file>

<file path=xl/tables/table4.xml><?xml version="1.0" encoding="utf-8"?>
<table xmlns="http://schemas.openxmlformats.org/spreadsheetml/2006/main" id="4" name="Tabella7126" displayName="Tabella7126" ref="A132:D139" totalsRowShown="0" headerRowDxfId="21" dataDxfId="20">
  <tableColumns count="4">
    <tableColumn id="1" name="Parametro" dataDxfId="19"/>
    <tableColumn id="2" name="Descrizione" dataDxfId="18"/>
    <tableColumn id="3" name="Unità di misura" dataDxfId="17"/>
    <tableColumn id="4" name="Valore" dataDxfId="16"/>
  </tableColumns>
  <tableStyleInfo name="TableStyleLight15" showFirstColumn="0" showLastColumn="0" showRowStripes="1" showColumnStripes="0"/>
</table>
</file>

<file path=xl/tables/table5.xml><?xml version="1.0" encoding="utf-8"?>
<table xmlns="http://schemas.openxmlformats.org/spreadsheetml/2006/main" id="5" name="Tabella1137" displayName="Tabella1137" ref="A3:F23" totalsRowShown="0" headerRowDxfId="15" dataDxfId="14">
  <tableColumns count="6">
    <tableColumn id="1" name="Parametro" dataDxfId="13"/>
    <tableColumn id="2" name="Descrizione" dataDxfId="12"/>
    <tableColumn id="3" name="Unità di misura" dataDxfId="11"/>
    <tableColumn id="4" name="Valore" dataDxfId="10"/>
    <tableColumn id="5" name="Nome della Via" dataDxfId="9"/>
    <tableColumn id="6" name="Inizio e fine (dal  numero civico al numero civico oppure dal km al km)" dataDxfId="8"/>
  </tableColumns>
  <tableStyleInfo name="TableStyleLight16" showFirstColumn="0" showLastColumn="0" showRowStripes="1" showColumnStripes="0"/>
</table>
</file>

<file path=xl/tables/table6.xml><?xml version="1.0" encoding="utf-8"?>
<table xmlns="http://schemas.openxmlformats.org/spreadsheetml/2006/main" id="6" name="Tabella6148" displayName="Tabella6148" ref="A66:D80" totalsRowShown="0" headerRowDxfId="7">
  <tableColumns count="4">
    <tableColumn id="1" name="Parametro" dataDxfId="6"/>
    <tableColumn id="2" name="Descrizione" dataDxfId="5"/>
    <tableColumn id="3" name="Unità di misura" dataDxfId="4"/>
    <tableColumn id="4" name="Valore" dataDxfId="3"/>
  </tableColumns>
  <tableStyleInfo name="TableStyleLight17" showFirstColumn="0" showLastColumn="0" showRowStripes="1" showColumnStripes="0"/>
</table>
</file>

<file path=xl/tables/table7.xml><?xml version="1.0" encoding="utf-8"?>
<table xmlns="http://schemas.openxmlformats.org/spreadsheetml/2006/main" id="7" name="Tabella8159" displayName="Tabella8159" ref="A85:D113" totalsRowShown="0" headerRowDxfId="2">
  <tableColumns count="4">
    <tableColumn id="1" name="Parametro"/>
    <tableColumn id="2" name="Descrizione"/>
    <tableColumn id="3" name="Unità di misura" dataDxfId="1"/>
    <tableColumn id="4" name="Valore" dataDxfId="0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3" Type="http://schemas.openxmlformats.org/officeDocument/2006/relationships/table" Target="../tables/table2.xml"/><Relationship Id="rId7" Type="http://schemas.openxmlformats.org/officeDocument/2006/relationships/table" Target="../tables/table6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0"/>
  <sheetViews>
    <sheetView topLeftCell="G49" workbookViewId="0">
      <selection activeCell="G56" sqref="G56"/>
    </sheetView>
  </sheetViews>
  <sheetFormatPr defaultRowHeight="14.35" x14ac:dyDescent="0.5"/>
  <cols>
    <col min="1" max="1" width="40.46875" bestFit="1" customWidth="1"/>
    <col min="2" max="2" width="50.52734375" bestFit="1" customWidth="1"/>
    <col min="3" max="3" width="37.46875" bestFit="1" customWidth="1"/>
    <col min="4" max="4" width="37.46875" style="330" customWidth="1"/>
    <col min="5" max="5" width="48.8203125" customWidth="1"/>
    <col min="6" max="6" width="46.52734375" customWidth="1"/>
    <col min="7" max="7" width="52.46875" customWidth="1"/>
    <col min="8" max="8" width="41.64453125" bestFit="1" customWidth="1"/>
    <col min="9" max="9" width="12.52734375" bestFit="1" customWidth="1"/>
  </cols>
  <sheetData>
    <row r="1" spans="1:7" ht="28.7" x14ac:dyDescent="0.5">
      <c r="A1" s="375" t="s">
        <v>312</v>
      </c>
      <c r="B1" s="375"/>
      <c r="C1" s="375"/>
      <c r="D1" s="375"/>
      <c r="E1" s="375"/>
      <c r="F1" s="375"/>
      <c r="G1" s="323" t="s">
        <v>313</v>
      </c>
    </row>
    <row r="2" spans="1:7" ht="14.5" x14ac:dyDescent="0.35">
      <c r="A2" s="324"/>
      <c r="B2" s="324"/>
      <c r="C2" s="324"/>
      <c r="D2" s="324"/>
      <c r="E2" s="376" t="s">
        <v>314</v>
      </c>
      <c r="F2" s="376"/>
      <c r="G2" s="323"/>
    </row>
    <row r="3" spans="1:7" ht="28.7" x14ac:dyDescent="0.5">
      <c r="A3" s="325" t="s">
        <v>315</v>
      </c>
      <c r="B3" s="325" t="s">
        <v>316</v>
      </c>
      <c r="C3" s="326" t="s">
        <v>317</v>
      </c>
      <c r="D3" s="325" t="s">
        <v>318</v>
      </c>
      <c r="E3" s="326" t="s">
        <v>319</v>
      </c>
      <c r="F3" s="327" t="s">
        <v>320</v>
      </c>
    </row>
    <row r="4" spans="1:7" ht="29" x14ac:dyDescent="0.35">
      <c r="A4" s="328" t="s">
        <v>321</v>
      </c>
      <c r="B4" s="329" t="s">
        <v>322</v>
      </c>
      <c r="C4" s="345" t="s">
        <v>323</v>
      </c>
      <c r="D4" s="330">
        <v>1500</v>
      </c>
      <c r="E4" s="330" t="s">
        <v>324</v>
      </c>
      <c r="F4" s="330" t="s">
        <v>325</v>
      </c>
    </row>
    <row r="5" spans="1:7" ht="29" x14ac:dyDescent="0.35">
      <c r="A5" s="328" t="s">
        <v>326</v>
      </c>
      <c r="B5" s="329" t="s">
        <v>327</v>
      </c>
      <c r="C5" s="345" t="s">
        <v>328</v>
      </c>
      <c r="D5" s="330">
        <v>0</v>
      </c>
      <c r="E5" s="331" t="s">
        <v>329</v>
      </c>
      <c r="F5" s="331" t="s">
        <v>329</v>
      </c>
    </row>
    <row r="6" spans="1:7" ht="29" x14ac:dyDescent="0.35">
      <c r="A6" s="328" t="s">
        <v>330</v>
      </c>
      <c r="B6" s="329" t="s">
        <v>331</v>
      </c>
      <c r="C6" s="345" t="s">
        <v>323</v>
      </c>
      <c r="E6" s="330"/>
      <c r="F6" s="330"/>
    </row>
    <row r="7" spans="1:7" ht="29" x14ac:dyDescent="0.35">
      <c r="A7" s="328" t="s">
        <v>332</v>
      </c>
      <c r="B7" s="329" t="s">
        <v>333</v>
      </c>
      <c r="C7" s="345" t="s">
        <v>328</v>
      </c>
      <c r="E7" s="331" t="s">
        <v>329</v>
      </c>
      <c r="F7" s="331" t="s">
        <v>329</v>
      </c>
    </row>
    <row r="8" spans="1:7" ht="29" x14ac:dyDescent="0.35">
      <c r="A8" s="328" t="s">
        <v>334</v>
      </c>
      <c r="B8" s="329" t="s">
        <v>335</v>
      </c>
      <c r="C8" s="345" t="s">
        <v>323</v>
      </c>
      <c r="E8" s="330"/>
      <c r="F8" s="330"/>
    </row>
    <row r="9" spans="1:7" ht="29" x14ac:dyDescent="0.35">
      <c r="A9" s="328" t="s">
        <v>336</v>
      </c>
      <c r="B9" s="329" t="s">
        <v>337</v>
      </c>
      <c r="C9" s="345" t="s">
        <v>328</v>
      </c>
      <c r="E9" s="331" t="s">
        <v>329</v>
      </c>
      <c r="F9" s="331" t="s">
        <v>329</v>
      </c>
    </row>
    <row r="10" spans="1:7" ht="29" x14ac:dyDescent="0.35">
      <c r="A10" s="328" t="s">
        <v>338</v>
      </c>
      <c r="B10" s="329" t="s">
        <v>339</v>
      </c>
      <c r="C10" s="345" t="s">
        <v>323</v>
      </c>
      <c r="E10" s="330"/>
      <c r="F10" s="330"/>
    </row>
    <row r="11" spans="1:7" ht="29" x14ac:dyDescent="0.35">
      <c r="A11" s="328" t="s">
        <v>340</v>
      </c>
      <c r="B11" s="329" t="s">
        <v>341</v>
      </c>
      <c r="C11" s="345" t="s">
        <v>328</v>
      </c>
      <c r="E11" s="331" t="s">
        <v>329</v>
      </c>
      <c r="F11" s="331" t="s">
        <v>329</v>
      </c>
    </row>
    <row r="12" spans="1:7" ht="29" x14ac:dyDescent="0.35">
      <c r="A12" s="328" t="s">
        <v>342</v>
      </c>
      <c r="B12" s="329" t="s">
        <v>343</v>
      </c>
      <c r="C12" s="345" t="s">
        <v>323</v>
      </c>
      <c r="E12" s="330"/>
      <c r="F12" s="330"/>
    </row>
    <row r="13" spans="1:7" ht="29" x14ac:dyDescent="0.35">
      <c r="A13" s="328" t="s">
        <v>344</v>
      </c>
      <c r="B13" s="329" t="s">
        <v>345</v>
      </c>
      <c r="C13" s="345" t="s">
        <v>328</v>
      </c>
      <c r="E13" s="331" t="s">
        <v>329</v>
      </c>
      <c r="F13" s="331" t="s">
        <v>329</v>
      </c>
    </row>
    <row r="14" spans="1:7" ht="29" x14ac:dyDescent="0.35">
      <c r="A14" s="328" t="s">
        <v>346</v>
      </c>
      <c r="B14" s="329" t="s">
        <v>347</v>
      </c>
      <c r="C14" s="345" t="s">
        <v>323</v>
      </c>
      <c r="E14" s="330"/>
      <c r="F14" s="330"/>
    </row>
    <row r="15" spans="1:7" ht="29" x14ac:dyDescent="0.35">
      <c r="A15" s="328" t="s">
        <v>348</v>
      </c>
      <c r="B15" s="329" t="s">
        <v>349</v>
      </c>
      <c r="C15" s="345" t="s">
        <v>328</v>
      </c>
      <c r="E15" s="331" t="s">
        <v>329</v>
      </c>
      <c r="F15" s="331" t="s">
        <v>329</v>
      </c>
    </row>
    <row r="16" spans="1:7" ht="29" x14ac:dyDescent="0.35">
      <c r="A16" s="328" t="s">
        <v>350</v>
      </c>
      <c r="B16" s="329" t="s">
        <v>351</v>
      </c>
      <c r="C16" s="345" t="s">
        <v>323</v>
      </c>
      <c r="E16" s="330"/>
      <c r="F16" s="330"/>
    </row>
    <row r="17" spans="1:9" ht="29" x14ac:dyDescent="0.35">
      <c r="A17" s="328" t="s">
        <v>352</v>
      </c>
      <c r="B17" s="329" t="s">
        <v>353</v>
      </c>
      <c r="C17" s="345" t="s">
        <v>328</v>
      </c>
      <c r="E17" s="331" t="s">
        <v>329</v>
      </c>
      <c r="F17" s="331" t="s">
        <v>329</v>
      </c>
    </row>
    <row r="18" spans="1:9" ht="29" x14ac:dyDescent="0.35">
      <c r="A18" s="328" t="s">
        <v>354</v>
      </c>
      <c r="B18" s="329" t="s">
        <v>355</v>
      </c>
      <c r="C18" s="345" t="s">
        <v>323</v>
      </c>
      <c r="E18" s="330"/>
      <c r="F18" s="330"/>
    </row>
    <row r="19" spans="1:9" ht="29" x14ac:dyDescent="0.35">
      <c r="A19" s="328" t="s">
        <v>356</v>
      </c>
      <c r="B19" s="329" t="s">
        <v>357</v>
      </c>
      <c r="C19" s="345" t="s">
        <v>328</v>
      </c>
      <c r="E19" s="331" t="s">
        <v>329</v>
      </c>
      <c r="F19" s="331" t="s">
        <v>329</v>
      </c>
    </row>
    <row r="20" spans="1:9" ht="29" x14ac:dyDescent="0.35">
      <c r="A20" s="328" t="s">
        <v>358</v>
      </c>
      <c r="B20" s="329" t="s">
        <v>359</v>
      </c>
      <c r="C20" s="345" t="s">
        <v>323</v>
      </c>
      <c r="E20" s="330"/>
      <c r="F20" s="330"/>
    </row>
    <row r="21" spans="1:9" ht="29" x14ac:dyDescent="0.35">
      <c r="A21" s="328" t="s">
        <v>360</v>
      </c>
      <c r="B21" s="329" t="s">
        <v>361</v>
      </c>
      <c r="C21" s="345" t="s">
        <v>328</v>
      </c>
      <c r="E21" s="331" t="s">
        <v>329</v>
      </c>
      <c r="F21" s="331" t="s">
        <v>329</v>
      </c>
    </row>
    <row r="22" spans="1:9" ht="29" x14ac:dyDescent="0.35">
      <c r="A22" s="328" t="s">
        <v>362</v>
      </c>
      <c r="B22" s="329" t="s">
        <v>363</v>
      </c>
      <c r="C22" s="345" t="s">
        <v>323</v>
      </c>
      <c r="E22" s="330"/>
      <c r="F22" s="330"/>
    </row>
    <row r="23" spans="1:9" ht="29" x14ac:dyDescent="0.35">
      <c r="A23" s="328" t="s">
        <v>364</v>
      </c>
      <c r="B23" s="329" t="s">
        <v>365</v>
      </c>
      <c r="C23" s="345" t="s">
        <v>328</v>
      </c>
      <c r="E23" s="331" t="s">
        <v>329</v>
      </c>
      <c r="F23" s="331" t="s">
        <v>329</v>
      </c>
    </row>
    <row r="27" spans="1:9" ht="26.2" customHeight="1" x14ac:dyDescent="0.35">
      <c r="A27" s="377" t="s">
        <v>366</v>
      </c>
      <c r="B27" s="377"/>
      <c r="C27" s="377"/>
      <c r="D27" s="377"/>
    </row>
    <row r="28" spans="1:9" ht="22" customHeight="1" x14ac:dyDescent="0.5">
      <c r="A28" s="325" t="s">
        <v>315</v>
      </c>
      <c r="B28" s="325" t="s">
        <v>316</v>
      </c>
      <c r="C28" s="326" t="s">
        <v>317</v>
      </c>
      <c r="D28" s="325" t="s">
        <v>318</v>
      </c>
      <c r="E28" s="326" t="s">
        <v>367</v>
      </c>
    </row>
    <row r="29" spans="1:9" ht="14.5" x14ac:dyDescent="0.35">
      <c r="A29" s="328" t="s">
        <v>368</v>
      </c>
      <c r="B29" s="332" t="s">
        <v>369</v>
      </c>
      <c r="C29" s="333" t="s">
        <v>370</v>
      </c>
      <c r="D29" s="334" t="s">
        <v>371</v>
      </c>
      <c r="E29" s="334"/>
    </row>
    <row r="30" spans="1:9" ht="14.5" x14ac:dyDescent="0.35">
      <c r="A30" s="328" t="s">
        <v>372</v>
      </c>
      <c r="B30" s="332" t="s">
        <v>373</v>
      </c>
      <c r="C30" s="333" t="s">
        <v>374</v>
      </c>
      <c r="D30" s="334">
        <v>100</v>
      </c>
      <c r="E30" s="334" t="s">
        <v>562</v>
      </c>
      <c r="H30" s="71" t="s">
        <v>566</v>
      </c>
      <c r="I30" s="346">
        <f>D30*(D34+D35)*D37</f>
        <v>131400</v>
      </c>
    </row>
    <row r="31" spans="1:9" x14ac:dyDescent="0.5">
      <c r="A31" s="328" t="s">
        <v>375</v>
      </c>
      <c r="B31" s="332" t="s">
        <v>376</v>
      </c>
      <c r="C31" s="333" t="s">
        <v>377</v>
      </c>
      <c r="D31" s="334" t="s">
        <v>378</v>
      </c>
      <c r="E31" s="334"/>
      <c r="H31" s="71" t="s">
        <v>563</v>
      </c>
      <c r="I31" s="346">
        <f>D30*(D34+D35)*D37*D120</f>
        <v>26280</v>
      </c>
    </row>
    <row r="32" spans="1:9" ht="14.5" x14ac:dyDescent="0.35">
      <c r="A32" s="333" t="s">
        <v>379</v>
      </c>
      <c r="B32" s="332" t="s">
        <v>380</v>
      </c>
      <c r="C32" s="333" t="s">
        <v>20</v>
      </c>
      <c r="D32" s="334">
        <v>2</v>
      </c>
      <c r="E32" s="334"/>
    </row>
    <row r="33" spans="1:11" x14ac:dyDescent="0.5">
      <c r="A33" s="333" t="s">
        <v>381</v>
      </c>
      <c r="B33" s="332" t="s">
        <v>382</v>
      </c>
      <c r="C33" s="333" t="s">
        <v>383</v>
      </c>
      <c r="D33" s="334"/>
      <c r="E33" s="334"/>
    </row>
    <row r="34" spans="1:11" ht="14.5" x14ac:dyDescent="0.35">
      <c r="A34" s="328" t="s">
        <v>384</v>
      </c>
      <c r="B34" s="332" t="s">
        <v>385</v>
      </c>
      <c r="C34" s="333" t="s">
        <v>386</v>
      </c>
      <c r="D34" s="334">
        <v>0.25</v>
      </c>
      <c r="E34" s="334"/>
      <c r="I34" s="350"/>
    </row>
    <row r="35" spans="1:11" ht="28.7" x14ac:dyDescent="0.5">
      <c r="A35" s="335" t="s">
        <v>387</v>
      </c>
      <c r="B35" s="336" t="s">
        <v>388</v>
      </c>
      <c r="C35" s="333" t="s">
        <v>386</v>
      </c>
      <c r="D35" s="334">
        <v>0.05</v>
      </c>
      <c r="E35" s="334"/>
    </row>
    <row r="36" spans="1:11" ht="29" x14ac:dyDescent="0.35">
      <c r="A36" s="333" t="s">
        <v>389</v>
      </c>
      <c r="B36" s="332" t="s">
        <v>390</v>
      </c>
      <c r="C36" s="333" t="s">
        <v>391</v>
      </c>
      <c r="D36" s="334">
        <v>0</v>
      </c>
      <c r="E36" s="334"/>
    </row>
    <row r="37" spans="1:11" ht="29" x14ac:dyDescent="0.35">
      <c r="A37" s="328" t="s">
        <v>392</v>
      </c>
      <c r="B37" s="332" t="s">
        <v>393</v>
      </c>
      <c r="C37" s="333" t="s">
        <v>394</v>
      </c>
      <c r="D37" s="334">
        <f>365*12</f>
        <v>4380</v>
      </c>
      <c r="E37" s="334"/>
    </row>
    <row r="38" spans="1:11" ht="29" x14ac:dyDescent="0.35">
      <c r="A38" s="328" t="s">
        <v>395</v>
      </c>
      <c r="B38" s="332" t="s">
        <v>396</v>
      </c>
      <c r="C38" s="333" t="s">
        <v>394</v>
      </c>
      <c r="D38" s="334">
        <f>365*12</f>
        <v>4380</v>
      </c>
      <c r="E38" s="334"/>
    </row>
    <row r="39" spans="1:11" ht="43.5" x14ac:dyDescent="0.35">
      <c r="A39" s="333" t="s">
        <v>397</v>
      </c>
      <c r="B39" s="336" t="s">
        <v>398</v>
      </c>
      <c r="C39" s="333" t="s">
        <v>399</v>
      </c>
      <c r="D39" s="334">
        <v>1.25</v>
      </c>
      <c r="E39" s="334"/>
    </row>
    <row r="40" spans="1:11" ht="14.5" customHeight="1" x14ac:dyDescent="0.5">
      <c r="A40" s="333" t="s">
        <v>400</v>
      </c>
      <c r="B40" s="332" t="s">
        <v>401</v>
      </c>
      <c r="C40" s="333" t="s">
        <v>402</v>
      </c>
      <c r="D40" s="334"/>
      <c r="E40" s="334"/>
    </row>
    <row r="41" spans="1:11" ht="14.5" x14ac:dyDescent="0.35">
      <c r="A41" s="337"/>
      <c r="B41" s="332"/>
      <c r="C41" s="337"/>
      <c r="D41" s="337"/>
    </row>
    <row r="44" spans="1:11" ht="26.2" customHeight="1" x14ac:dyDescent="0.35">
      <c r="A44" s="378" t="s">
        <v>403</v>
      </c>
      <c r="B44" s="378"/>
      <c r="C44" s="378"/>
      <c r="D44" s="378"/>
      <c r="K44" s="350"/>
    </row>
    <row r="45" spans="1:11" ht="22" customHeight="1" x14ac:dyDescent="0.5">
      <c r="A45" s="325" t="s">
        <v>315</v>
      </c>
      <c r="B45" s="325" t="s">
        <v>316</v>
      </c>
      <c r="C45" s="326" t="s">
        <v>317</v>
      </c>
      <c r="D45" s="325" t="s">
        <v>318</v>
      </c>
    </row>
    <row r="46" spans="1:11" ht="14.5" x14ac:dyDescent="0.35">
      <c r="A46" s="328" t="s">
        <v>368</v>
      </c>
      <c r="B46" s="332" t="s">
        <v>369</v>
      </c>
      <c r="C46" s="333" t="s">
        <v>370</v>
      </c>
      <c r="D46" s="333" t="s">
        <v>49</v>
      </c>
    </row>
    <row r="47" spans="1:11" ht="14.5" x14ac:dyDescent="0.35">
      <c r="A47" s="328" t="s">
        <v>372</v>
      </c>
      <c r="B47" s="332" t="s">
        <v>373</v>
      </c>
      <c r="C47" s="333" t="s">
        <v>374</v>
      </c>
      <c r="D47" s="345">
        <v>90</v>
      </c>
      <c r="H47" s="71" t="s">
        <v>567</v>
      </c>
      <c r="I47" s="346">
        <f>Tabella4104[[#This Row],[Valore]]*(D51+D52)*D54+Tabella4104[[#This Row],[Valore]]*(D51+D52)*D53*D55</f>
        <v>33704.100000000006</v>
      </c>
      <c r="K47">
        <v>0.2</v>
      </c>
    </row>
    <row r="48" spans="1:11" ht="28.7" x14ac:dyDescent="0.5">
      <c r="A48" s="328" t="s">
        <v>404</v>
      </c>
      <c r="B48" s="332" t="s">
        <v>405</v>
      </c>
      <c r="C48" s="333" t="s">
        <v>377</v>
      </c>
      <c r="D48" s="345">
        <v>260</v>
      </c>
      <c r="H48" s="348" t="s">
        <v>568</v>
      </c>
      <c r="I48" s="349">
        <f>(D47*(D51+D52)*D54+D47*(D51+D52)*D53*D55)*D120</f>
        <v>6740.8200000000015</v>
      </c>
    </row>
    <row r="49" spans="1:9" ht="14.5" x14ac:dyDescent="0.35">
      <c r="A49" s="333" t="s">
        <v>379</v>
      </c>
      <c r="B49" s="332" t="s">
        <v>380</v>
      </c>
      <c r="C49" s="333" t="s">
        <v>20</v>
      </c>
      <c r="D49" s="345">
        <v>1</v>
      </c>
      <c r="H49" s="277"/>
      <c r="I49" s="277"/>
    </row>
    <row r="50" spans="1:9" x14ac:dyDescent="0.5">
      <c r="A50" s="333" t="s">
        <v>381</v>
      </c>
      <c r="B50" s="332" t="s">
        <v>382</v>
      </c>
      <c r="C50" s="333" t="s">
        <v>383</v>
      </c>
      <c r="D50" s="345">
        <v>1500</v>
      </c>
      <c r="H50" s="348" t="s">
        <v>564</v>
      </c>
      <c r="I50" s="349">
        <f>D47*(D48+D58)+D57+D59+D60</f>
        <v>71900</v>
      </c>
    </row>
    <row r="51" spans="1:9" ht="14.5" x14ac:dyDescent="0.35">
      <c r="A51" s="328" t="s">
        <v>384</v>
      </c>
      <c r="B51" s="332" t="s">
        <v>385</v>
      </c>
      <c r="C51" s="333" t="s">
        <v>386</v>
      </c>
      <c r="D51" s="333">
        <v>9.8000000000000004E-2</v>
      </c>
    </row>
    <row r="52" spans="1:9" ht="28.7" x14ac:dyDescent="0.5">
      <c r="A52" s="335" t="s">
        <v>387</v>
      </c>
      <c r="B52" s="336" t="s">
        <v>406</v>
      </c>
      <c r="C52" s="333" t="s">
        <v>386</v>
      </c>
      <c r="D52" s="345">
        <v>0.01</v>
      </c>
    </row>
    <row r="53" spans="1:9" ht="29" x14ac:dyDescent="0.35">
      <c r="A53" s="333" t="s">
        <v>389</v>
      </c>
      <c r="B53" s="332" t="s">
        <v>390</v>
      </c>
      <c r="C53" s="345" t="s">
        <v>391</v>
      </c>
      <c r="D53" s="347">
        <v>0.5</v>
      </c>
    </row>
    <row r="54" spans="1:9" ht="29" x14ac:dyDescent="0.35">
      <c r="A54" s="328" t="s">
        <v>392</v>
      </c>
      <c r="B54" s="332" t="s">
        <v>393</v>
      </c>
      <c r="C54" s="333" t="s">
        <v>394</v>
      </c>
      <c r="D54" s="334">
        <f>365*7</f>
        <v>2555</v>
      </c>
    </row>
    <row r="55" spans="1:9" ht="29" x14ac:dyDescent="0.35">
      <c r="A55" s="328" t="s">
        <v>395</v>
      </c>
      <c r="B55" s="332" t="s">
        <v>396</v>
      </c>
      <c r="C55" s="333" t="s">
        <v>394</v>
      </c>
      <c r="D55" s="334">
        <f>365*5</f>
        <v>1825</v>
      </c>
    </row>
    <row r="56" spans="1:9" ht="43.5" x14ac:dyDescent="0.35">
      <c r="A56" s="338" t="s">
        <v>397</v>
      </c>
      <c r="B56" s="336" t="s">
        <v>398</v>
      </c>
      <c r="C56" s="333" t="s">
        <v>399</v>
      </c>
      <c r="D56" s="334">
        <v>5</v>
      </c>
    </row>
    <row r="57" spans="1:9" ht="28.7" x14ac:dyDescent="0.5">
      <c r="A57" s="333" t="s">
        <v>407</v>
      </c>
      <c r="B57" s="339" t="s">
        <v>408</v>
      </c>
      <c r="C57" s="345" t="s">
        <v>409</v>
      </c>
      <c r="D57" s="334">
        <v>1500</v>
      </c>
    </row>
    <row r="58" spans="1:9" ht="28.7" x14ac:dyDescent="0.5">
      <c r="A58" s="333" t="s">
        <v>410</v>
      </c>
      <c r="B58" s="339" t="s">
        <v>411</v>
      </c>
      <c r="C58" s="345" t="s">
        <v>412</v>
      </c>
      <c r="D58" s="345">
        <v>500</v>
      </c>
    </row>
    <row r="59" spans="1:9" x14ac:dyDescent="0.5">
      <c r="A59" s="333" t="s">
        <v>413</v>
      </c>
      <c r="B59" s="339" t="s">
        <v>414</v>
      </c>
      <c r="C59" s="345" t="s">
        <v>409</v>
      </c>
      <c r="D59" s="345">
        <v>1000</v>
      </c>
    </row>
    <row r="60" spans="1:9" ht="28.7" x14ac:dyDescent="0.5">
      <c r="A60" s="333" t="s">
        <v>415</v>
      </c>
      <c r="B60" s="339" t="s">
        <v>416</v>
      </c>
      <c r="C60" s="345" t="s">
        <v>409</v>
      </c>
      <c r="D60" s="345">
        <v>1000</v>
      </c>
    </row>
    <row r="61" spans="1:9" ht="28.7" x14ac:dyDescent="0.5">
      <c r="A61" s="333" t="s">
        <v>417</v>
      </c>
      <c r="B61" s="339" t="s">
        <v>418</v>
      </c>
      <c r="C61" s="345" t="s">
        <v>419</v>
      </c>
      <c r="D61" s="345"/>
    </row>
    <row r="62" spans="1:9" ht="14.5" x14ac:dyDescent="0.35">
      <c r="A62" s="333"/>
      <c r="B62" s="339"/>
      <c r="C62" s="277"/>
      <c r="D62" s="345"/>
    </row>
    <row r="63" spans="1:9" ht="14.5" x14ac:dyDescent="0.35">
      <c r="A63" s="333"/>
      <c r="B63" s="339"/>
      <c r="C63" s="277"/>
      <c r="D63" s="345"/>
    </row>
    <row r="64" spans="1:9" ht="14.5" x14ac:dyDescent="0.35">
      <c r="A64" s="333"/>
      <c r="B64" s="339"/>
      <c r="C64" s="277"/>
      <c r="D64" s="345"/>
    </row>
    <row r="65" spans="1:9" ht="14.5" x14ac:dyDescent="0.35">
      <c r="A65" s="379" t="s">
        <v>420</v>
      </c>
      <c r="B65" s="379"/>
      <c r="C65" s="379"/>
      <c r="D65" s="340"/>
    </row>
    <row r="66" spans="1:9" x14ac:dyDescent="0.5">
      <c r="A66" s="325" t="s">
        <v>315</v>
      </c>
      <c r="B66" s="325" t="s">
        <v>316</v>
      </c>
      <c r="C66" s="326" t="s">
        <v>317</v>
      </c>
      <c r="D66" s="325" t="s">
        <v>318</v>
      </c>
    </row>
    <row r="67" spans="1:9" ht="243.7" x14ac:dyDescent="0.5">
      <c r="A67" s="328" t="s">
        <v>421</v>
      </c>
      <c r="B67" s="339" t="s">
        <v>422</v>
      </c>
      <c r="C67" s="333" t="s">
        <v>370</v>
      </c>
      <c r="D67" s="345" t="s">
        <v>423</v>
      </c>
    </row>
    <row r="68" spans="1:9" ht="28.7" x14ac:dyDescent="0.5">
      <c r="A68" s="328" t="s">
        <v>424</v>
      </c>
      <c r="B68" s="339" t="s">
        <v>425</v>
      </c>
      <c r="C68" s="333" t="s">
        <v>409</v>
      </c>
      <c r="D68" s="345" t="s">
        <v>426</v>
      </c>
      <c r="E68" s="341" t="s">
        <v>427</v>
      </c>
    </row>
    <row r="69" spans="1:9" ht="28.7" x14ac:dyDescent="0.5">
      <c r="A69" s="328" t="s">
        <v>428</v>
      </c>
      <c r="B69" s="339" t="s">
        <v>429</v>
      </c>
      <c r="C69" s="345" t="s">
        <v>430</v>
      </c>
      <c r="D69" s="345">
        <v>4</v>
      </c>
      <c r="E69" s="372" t="s">
        <v>431</v>
      </c>
    </row>
    <row r="70" spans="1:9" ht="28.7" x14ac:dyDescent="0.5">
      <c r="A70" s="333" t="s">
        <v>432</v>
      </c>
      <c r="B70" s="339" t="s">
        <v>433</v>
      </c>
      <c r="C70" s="333" t="s">
        <v>409</v>
      </c>
      <c r="D70" s="345">
        <v>2500</v>
      </c>
      <c r="E70" s="372"/>
      <c r="H70" s="348" t="s">
        <v>565</v>
      </c>
      <c r="I70" s="349">
        <f>Tabella6148[[#This Row],[Valore]]+D71</f>
        <v>14500</v>
      </c>
    </row>
    <row r="71" spans="1:9" ht="57.35" x14ac:dyDescent="0.5">
      <c r="A71" s="328" t="s">
        <v>434</v>
      </c>
      <c r="B71" s="339" t="s">
        <v>435</v>
      </c>
      <c r="C71" s="333" t="s">
        <v>409</v>
      </c>
      <c r="D71" s="345">
        <v>12000</v>
      </c>
      <c r="E71" s="372"/>
    </row>
    <row r="72" spans="1:9" ht="57.35" x14ac:dyDescent="0.5">
      <c r="A72" s="328" t="s">
        <v>436</v>
      </c>
      <c r="B72" s="342" t="s">
        <v>437</v>
      </c>
      <c r="C72" s="345" t="s">
        <v>438</v>
      </c>
      <c r="D72" s="345">
        <v>4</v>
      </c>
      <c r="E72" s="372"/>
    </row>
    <row r="73" spans="1:9" ht="28.7" x14ac:dyDescent="0.5">
      <c r="A73" s="333" t="s">
        <v>439</v>
      </c>
      <c r="B73" s="339" t="s">
        <v>440</v>
      </c>
      <c r="C73" s="333" t="s">
        <v>409</v>
      </c>
      <c r="D73" s="345">
        <v>0</v>
      </c>
      <c r="E73" s="372"/>
    </row>
    <row r="74" spans="1:9" ht="57.35" x14ac:dyDescent="0.5">
      <c r="A74" s="328" t="s">
        <v>441</v>
      </c>
      <c r="B74" s="342" t="s">
        <v>442</v>
      </c>
      <c r="C74" s="345" t="s">
        <v>438</v>
      </c>
      <c r="D74" s="345">
        <v>0</v>
      </c>
      <c r="E74" s="372"/>
    </row>
    <row r="75" spans="1:9" ht="28.7" x14ac:dyDescent="0.5">
      <c r="A75" s="333" t="s">
        <v>443</v>
      </c>
      <c r="B75" s="339" t="s">
        <v>444</v>
      </c>
      <c r="C75" s="333" t="s">
        <v>409</v>
      </c>
      <c r="D75" s="345">
        <v>0</v>
      </c>
      <c r="E75" s="372"/>
    </row>
    <row r="76" spans="1:9" ht="86" x14ac:dyDescent="0.5">
      <c r="A76" s="328" t="s">
        <v>445</v>
      </c>
      <c r="B76" s="342" t="s">
        <v>446</v>
      </c>
      <c r="C76" s="345" t="s">
        <v>438</v>
      </c>
      <c r="D76" s="345">
        <v>0</v>
      </c>
      <c r="E76" s="372"/>
    </row>
    <row r="77" spans="1:9" ht="28.7" x14ac:dyDescent="0.5">
      <c r="A77" s="333" t="s">
        <v>447</v>
      </c>
      <c r="B77" s="339" t="s">
        <v>448</v>
      </c>
      <c r="C77" s="333" t="s">
        <v>409</v>
      </c>
      <c r="D77" s="345">
        <v>0</v>
      </c>
      <c r="E77" s="372"/>
    </row>
    <row r="78" spans="1:9" ht="57.35" x14ac:dyDescent="0.5">
      <c r="A78" s="328" t="s">
        <v>449</v>
      </c>
      <c r="B78" s="342" t="s">
        <v>450</v>
      </c>
      <c r="C78" s="345" t="s">
        <v>430</v>
      </c>
      <c r="D78" s="345"/>
      <c r="E78" s="372" t="s">
        <v>451</v>
      </c>
    </row>
    <row r="79" spans="1:9" ht="43" x14ac:dyDescent="0.5">
      <c r="A79" s="333" t="s">
        <v>452</v>
      </c>
      <c r="B79" s="339" t="s">
        <v>453</v>
      </c>
      <c r="C79" s="333" t="s">
        <v>409</v>
      </c>
      <c r="D79" s="345"/>
      <c r="E79" s="372"/>
    </row>
    <row r="80" spans="1:9" ht="71.7" x14ac:dyDescent="0.5">
      <c r="A80" s="328" t="s">
        <v>454</v>
      </c>
      <c r="B80" s="339" t="s">
        <v>455</v>
      </c>
      <c r="C80" s="333" t="s">
        <v>409</v>
      </c>
      <c r="D80" s="345"/>
      <c r="E80" s="372"/>
    </row>
    <row r="81" spans="1:6" x14ac:dyDescent="0.5">
      <c r="A81" s="333"/>
      <c r="B81" s="339"/>
      <c r="C81" s="277"/>
      <c r="D81" s="345"/>
      <c r="E81" s="343"/>
    </row>
    <row r="82" spans="1:6" x14ac:dyDescent="0.5">
      <c r="A82" s="333"/>
      <c r="B82" s="339"/>
      <c r="C82" s="277"/>
      <c r="D82" s="345"/>
      <c r="E82" s="343"/>
    </row>
    <row r="83" spans="1:6" x14ac:dyDescent="0.5">
      <c r="A83" s="333"/>
      <c r="B83" s="339"/>
      <c r="C83" s="277"/>
      <c r="D83" s="345"/>
    </row>
    <row r="84" spans="1:6" x14ac:dyDescent="0.5">
      <c r="A84" s="380" t="s">
        <v>456</v>
      </c>
      <c r="B84" s="380"/>
      <c r="C84" s="380"/>
      <c r="D84" s="344"/>
    </row>
    <row r="85" spans="1:6" x14ac:dyDescent="0.5">
      <c r="A85" s="325" t="s">
        <v>315</v>
      </c>
      <c r="B85" s="325" t="s">
        <v>316</v>
      </c>
      <c r="C85" s="326" t="s">
        <v>317</v>
      </c>
      <c r="D85" s="325" t="s">
        <v>318</v>
      </c>
    </row>
    <row r="86" spans="1:6" ht="28.7" x14ac:dyDescent="0.5">
      <c r="A86" s="328" t="s">
        <v>457</v>
      </c>
      <c r="B86" s="339" t="s">
        <v>458</v>
      </c>
      <c r="C86" s="333" t="s">
        <v>370</v>
      </c>
      <c r="D86" s="345" t="s">
        <v>459</v>
      </c>
      <c r="E86" s="373" t="s">
        <v>199</v>
      </c>
    </row>
    <row r="87" spans="1:6" ht="28.7" x14ac:dyDescent="0.5">
      <c r="A87" s="328" t="s">
        <v>460</v>
      </c>
      <c r="B87" s="339" t="s">
        <v>461</v>
      </c>
      <c r="C87" s="333" t="s">
        <v>409</v>
      </c>
      <c r="D87" s="345" t="s">
        <v>459</v>
      </c>
      <c r="E87" s="373"/>
    </row>
    <row r="88" spans="1:6" ht="28.7" x14ac:dyDescent="0.5">
      <c r="A88" s="328" t="s">
        <v>462</v>
      </c>
      <c r="B88" s="339" t="s">
        <v>463</v>
      </c>
      <c r="C88" s="345" t="s">
        <v>430</v>
      </c>
      <c r="D88" s="345">
        <v>0</v>
      </c>
      <c r="E88" s="373" t="s">
        <v>464</v>
      </c>
      <c r="F88" s="372" t="s">
        <v>465</v>
      </c>
    </row>
    <row r="89" spans="1:6" ht="43" x14ac:dyDescent="0.5">
      <c r="A89" s="328" t="s">
        <v>436</v>
      </c>
      <c r="B89" s="342" t="s">
        <v>466</v>
      </c>
      <c r="C89" s="345" t="s">
        <v>438</v>
      </c>
      <c r="D89" s="345">
        <v>4</v>
      </c>
      <c r="E89" s="373"/>
      <c r="F89" s="372"/>
    </row>
    <row r="90" spans="1:6" ht="43" x14ac:dyDescent="0.5">
      <c r="A90" s="328" t="s">
        <v>441</v>
      </c>
      <c r="B90" s="342" t="s">
        <v>467</v>
      </c>
      <c r="C90" s="345" t="s">
        <v>438</v>
      </c>
      <c r="D90" s="345">
        <v>0</v>
      </c>
      <c r="E90" s="373"/>
      <c r="F90" s="372"/>
    </row>
    <row r="91" spans="1:6" ht="71.7" x14ac:dyDescent="0.5">
      <c r="A91" s="328" t="s">
        <v>445</v>
      </c>
      <c r="B91" s="342" t="s">
        <v>468</v>
      </c>
      <c r="C91" s="345" t="s">
        <v>438</v>
      </c>
      <c r="D91" s="345">
        <v>0</v>
      </c>
      <c r="E91" s="373"/>
      <c r="F91" s="372"/>
    </row>
    <row r="92" spans="1:6" ht="28.7" x14ac:dyDescent="0.5">
      <c r="A92" s="328" t="s">
        <v>469</v>
      </c>
      <c r="B92" s="342" t="s">
        <v>470</v>
      </c>
      <c r="C92" s="333" t="s">
        <v>409</v>
      </c>
      <c r="D92" s="345">
        <v>0</v>
      </c>
      <c r="E92" s="373"/>
      <c r="F92" s="341"/>
    </row>
    <row r="93" spans="1:6" ht="57.35" x14ac:dyDescent="0.5">
      <c r="A93" s="328" t="s">
        <v>471</v>
      </c>
      <c r="B93" s="342" t="s">
        <v>472</v>
      </c>
      <c r="C93" s="333" t="s">
        <v>409</v>
      </c>
      <c r="D93" s="345">
        <v>0</v>
      </c>
      <c r="E93" s="373"/>
      <c r="F93" s="341"/>
    </row>
    <row r="94" spans="1:6" ht="28.7" x14ac:dyDescent="0.5">
      <c r="A94" s="328" t="s">
        <v>473</v>
      </c>
      <c r="B94" s="339" t="s">
        <v>474</v>
      </c>
      <c r="C94" s="345" t="s">
        <v>430</v>
      </c>
      <c r="D94" s="345">
        <v>0</v>
      </c>
      <c r="E94" s="373" t="s">
        <v>286</v>
      </c>
    </row>
    <row r="95" spans="1:6" ht="28.7" x14ac:dyDescent="0.5">
      <c r="A95" s="328" t="s">
        <v>475</v>
      </c>
      <c r="B95" s="339" t="s">
        <v>476</v>
      </c>
      <c r="C95" s="345" t="s">
        <v>438</v>
      </c>
      <c r="D95" s="345">
        <v>0</v>
      </c>
      <c r="E95" s="373"/>
    </row>
    <row r="96" spans="1:6" x14ac:dyDescent="0.5">
      <c r="A96" s="328" t="s">
        <v>477</v>
      </c>
      <c r="B96" s="339" t="s">
        <v>478</v>
      </c>
      <c r="C96" s="345" t="s">
        <v>479</v>
      </c>
      <c r="D96" s="345">
        <v>0</v>
      </c>
      <c r="E96" s="373"/>
    </row>
    <row r="97" spans="1:5" ht="43" x14ac:dyDescent="0.5">
      <c r="A97" s="328" t="s">
        <v>480</v>
      </c>
      <c r="B97" s="342" t="s">
        <v>481</v>
      </c>
      <c r="C97" s="333" t="s">
        <v>409</v>
      </c>
      <c r="D97" s="345">
        <v>0</v>
      </c>
      <c r="E97" s="373"/>
    </row>
    <row r="98" spans="1:5" ht="43" x14ac:dyDescent="0.5">
      <c r="A98" s="328" t="s">
        <v>482</v>
      </c>
      <c r="B98" s="342" t="s">
        <v>483</v>
      </c>
      <c r="C98" s="333" t="s">
        <v>409</v>
      </c>
      <c r="D98" s="345">
        <v>0</v>
      </c>
      <c r="E98" s="373"/>
    </row>
    <row r="99" spans="1:5" ht="28.7" x14ac:dyDescent="0.5">
      <c r="A99" s="328" t="s">
        <v>484</v>
      </c>
      <c r="B99" s="339" t="s">
        <v>485</v>
      </c>
      <c r="C99" s="345" t="s">
        <v>430</v>
      </c>
      <c r="D99" s="345">
        <v>0</v>
      </c>
      <c r="E99" s="373" t="s">
        <v>486</v>
      </c>
    </row>
    <row r="100" spans="1:5" ht="28.7" x14ac:dyDescent="0.5">
      <c r="A100" s="328" t="s">
        <v>487</v>
      </c>
      <c r="B100" s="339" t="s">
        <v>488</v>
      </c>
      <c r="C100" s="345" t="s">
        <v>430</v>
      </c>
      <c r="D100" s="345">
        <v>0</v>
      </c>
      <c r="E100" s="373"/>
    </row>
    <row r="101" spans="1:5" x14ac:dyDescent="0.5">
      <c r="A101" s="328" t="s">
        <v>489</v>
      </c>
      <c r="B101" s="339" t="s">
        <v>490</v>
      </c>
      <c r="C101" s="345" t="s">
        <v>491</v>
      </c>
      <c r="D101" s="345">
        <v>0</v>
      </c>
      <c r="E101" s="373"/>
    </row>
    <row r="102" spans="1:5" ht="43" x14ac:dyDescent="0.5">
      <c r="A102" s="328" t="s">
        <v>492</v>
      </c>
      <c r="B102" s="342" t="s">
        <v>493</v>
      </c>
      <c r="C102" s="333" t="s">
        <v>409</v>
      </c>
      <c r="D102" s="345">
        <v>0</v>
      </c>
      <c r="E102" s="373"/>
    </row>
    <row r="103" spans="1:5" ht="28.7" x14ac:dyDescent="0.5">
      <c r="A103" s="328" t="s">
        <v>494</v>
      </c>
      <c r="B103" s="342" t="s">
        <v>495</v>
      </c>
      <c r="C103" s="333" t="s">
        <v>409</v>
      </c>
      <c r="D103" s="345">
        <v>0</v>
      </c>
      <c r="E103" s="373"/>
    </row>
    <row r="104" spans="1:5" ht="28.7" x14ac:dyDescent="0.5">
      <c r="A104" s="328" t="s">
        <v>496</v>
      </c>
      <c r="B104" s="339" t="s">
        <v>497</v>
      </c>
      <c r="C104" s="345" t="s">
        <v>438</v>
      </c>
      <c r="D104" s="345">
        <v>0</v>
      </c>
      <c r="E104" s="373" t="s">
        <v>498</v>
      </c>
    </row>
    <row r="105" spans="1:5" ht="28.7" x14ac:dyDescent="0.5">
      <c r="A105" s="328" t="s">
        <v>499</v>
      </c>
      <c r="B105" s="342" t="s">
        <v>500</v>
      </c>
      <c r="C105" s="333" t="s">
        <v>409</v>
      </c>
      <c r="D105" s="345">
        <v>0</v>
      </c>
      <c r="E105" s="373"/>
    </row>
    <row r="106" spans="1:5" x14ac:dyDescent="0.5">
      <c r="A106" s="328" t="s">
        <v>501</v>
      </c>
      <c r="B106" s="339" t="s">
        <v>502</v>
      </c>
      <c r="C106" s="345" t="s">
        <v>503</v>
      </c>
      <c r="D106" s="345">
        <v>0</v>
      </c>
      <c r="E106" s="373" t="s">
        <v>504</v>
      </c>
    </row>
    <row r="107" spans="1:5" x14ac:dyDescent="0.5">
      <c r="A107" s="328" t="s">
        <v>505</v>
      </c>
      <c r="B107" s="339" t="s">
        <v>506</v>
      </c>
      <c r="C107" s="345" t="s">
        <v>507</v>
      </c>
      <c r="D107" s="345">
        <v>0</v>
      </c>
      <c r="E107" s="373"/>
    </row>
    <row r="108" spans="1:5" ht="28.7" x14ac:dyDescent="0.5">
      <c r="A108" s="328" t="s">
        <v>508</v>
      </c>
      <c r="B108" s="342" t="s">
        <v>509</v>
      </c>
      <c r="C108" s="333" t="s">
        <v>409</v>
      </c>
      <c r="D108" s="345">
        <v>0</v>
      </c>
      <c r="E108" s="373"/>
    </row>
    <row r="109" spans="1:5" x14ac:dyDescent="0.5">
      <c r="A109" s="328" t="s">
        <v>510</v>
      </c>
      <c r="B109" s="339" t="s">
        <v>511</v>
      </c>
      <c r="C109" s="345" t="s">
        <v>512</v>
      </c>
      <c r="D109" s="345">
        <v>0</v>
      </c>
      <c r="E109" s="373" t="s">
        <v>291</v>
      </c>
    </row>
    <row r="110" spans="1:5" x14ac:dyDescent="0.5">
      <c r="A110" s="328" t="s">
        <v>513</v>
      </c>
      <c r="B110" s="339" t="s">
        <v>514</v>
      </c>
      <c r="C110" s="345" t="s">
        <v>515</v>
      </c>
      <c r="D110" s="345">
        <v>0</v>
      </c>
      <c r="E110" s="373"/>
    </row>
    <row r="111" spans="1:5" ht="28.7" x14ac:dyDescent="0.5">
      <c r="A111" s="328" t="s">
        <v>516</v>
      </c>
      <c r="B111" s="342" t="s">
        <v>517</v>
      </c>
      <c r="C111" s="333" t="s">
        <v>409</v>
      </c>
      <c r="D111" s="345">
        <v>0</v>
      </c>
      <c r="E111" s="373"/>
    </row>
    <row r="112" spans="1:5" x14ac:dyDescent="0.5">
      <c r="A112" s="328" t="s">
        <v>518</v>
      </c>
      <c r="B112" s="339" t="s">
        <v>519</v>
      </c>
      <c r="C112" s="345" t="s">
        <v>520</v>
      </c>
      <c r="D112" s="345">
        <v>0</v>
      </c>
      <c r="E112" s="373" t="s">
        <v>292</v>
      </c>
    </row>
    <row r="113" spans="1:5" ht="28.7" x14ac:dyDescent="0.5">
      <c r="A113" s="328" t="s">
        <v>521</v>
      </c>
      <c r="B113" s="342" t="s">
        <v>522</v>
      </c>
      <c r="C113" s="333" t="s">
        <v>409</v>
      </c>
      <c r="D113" s="345">
        <v>0</v>
      </c>
      <c r="E113" s="373"/>
    </row>
    <row r="117" spans="1:5" ht="25.5" customHeight="1" x14ac:dyDescent="0.5">
      <c r="A117" s="374" t="s">
        <v>523</v>
      </c>
      <c r="B117" s="374"/>
      <c r="C117" s="374"/>
      <c r="D117" s="374"/>
    </row>
    <row r="118" spans="1:5" ht="21.7" customHeight="1" x14ac:dyDescent="0.5">
      <c r="A118" s="325" t="s">
        <v>315</v>
      </c>
      <c r="B118" s="325" t="s">
        <v>316</v>
      </c>
      <c r="C118" s="326" t="s">
        <v>317</v>
      </c>
      <c r="D118" s="325" t="s">
        <v>318</v>
      </c>
    </row>
    <row r="119" spans="1:5" ht="28.7" x14ac:dyDescent="0.5">
      <c r="A119" s="333" t="s">
        <v>23</v>
      </c>
      <c r="B119" s="339" t="s">
        <v>524</v>
      </c>
      <c r="C119" s="345" t="s">
        <v>391</v>
      </c>
      <c r="D119" s="345"/>
    </row>
    <row r="120" spans="1:5" x14ac:dyDescent="0.5">
      <c r="A120" s="328" t="s">
        <v>525</v>
      </c>
      <c r="B120" s="339" t="s">
        <v>526</v>
      </c>
      <c r="C120" s="345" t="s">
        <v>527</v>
      </c>
      <c r="D120" s="345">
        <v>0.2</v>
      </c>
    </row>
    <row r="121" spans="1:5" ht="43" x14ac:dyDescent="0.5">
      <c r="A121" s="333" t="s">
        <v>528</v>
      </c>
      <c r="B121" s="339" t="s">
        <v>529</v>
      </c>
      <c r="C121" s="345" t="s">
        <v>399</v>
      </c>
      <c r="D121" s="345"/>
    </row>
    <row r="122" spans="1:5" ht="28.7" x14ac:dyDescent="0.5">
      <c r="A122" s="333" t="s">
        <v>530</v>
      </c>
      <c r="B122" s="339" t="s">
        <v>531</v>
      </c>
      <c r="C122" s="345" t="s">
        <v>532</v>
      </c>
      <c r="D122" s="345"/>
    </row>
    <row r="123" spans="1:5" x14ac:dyDescent="0.5">
      <c r="A123" s="328" t="s">
        <v>533</v>
      </c>
      <c r="B123" s="339" t="s">
        <v>534</v>
      </c>
      <c r="C123" s="345" t="s">
        <v>399</v>
      </c>
      <c r="D123" s="345">
        <v>2</v>
      </c>
    </row>
    <row r="124" spans="1:5" ht="28.7" x14ac:dyDescent="0.5">
      <c r="A124" s="328" t="s">
        <v>535</v>
      </c>
      <c r="B124" s="339" t="s">
        <v>536</v>
      </c>
      <c r="C124" s="333" t="s">
        <v>370</v>
      </c>
      <c r="D124" s="345" t="s">
        <v>537</v>
      </c>
      <c r="E124" s="84"/>
    </row>
    <row r="125" spans="1:5" ht="28.7" x14ac:dyDescent="0.5">
      <c r="A125" s="333" t="s">
        <v>538</v>
      </c>
      <c r="B125" s="339" t="s">
        <v>539</v>
      </c>
      <c r="C125" s="345" t="s">
        <v>419</v>
      </c>
      <c r="D125" s="345"/>
    </row>
    <row r="126" spans="1:5" ht="43" x14ac:dyDescent="0.5">
      <c r="A126" s="328" t="s">
        <v>540</v>
      </c>
      <c r="B126" s="339" t="s">
        <v>541</v>
      </c>
      <c r="C126" s="345" t="s">
        <v>419</v>
      </c>
      <c r="D126" s="345">
        <v>0</v>
      </c>
    </row>
    <row r="127" spans="1:5" ht="28.7" x14ac:dyDescent="0.5">
      <c r="A127" s="333" t="s">
        <v>542</v>
      </c>
      <c r="B127" s="339" t="s">
        <v>543</v>
      </c>
      <c r="C127" s="345" t="s">
        <v>419</v>
      </c>
      <c r="D127" s="345"/>
    </row>
    <row r="128" spans="1:5" x14ac:dyDescent="0.5">
      <c r="A128" s="333"/>
      <c r="B128" s="339"/>
      <c r="C128" s="277"/>
      <c r="D128" s="345"/>
    </row>
    <row r="129" spans="1:5" x14ac:dyDescent="0.5">
      <c r="A129" s="333"/>
      <c r="B129" s="339"/>
      <c r="C129" s="277"/>
      <c r="D129" s="345"/>
    </row>
    <row r="131" spans="1:5" ht="26.2" customHeight="1" x14ac:dyDescent="0.5">
      <c r="A131" s="371" t="s">
        <v>544</v>
      </c>
      <c r="B131" s="371"/>
      <c r="C131" s="371"/>
      <c r="D131" s="371"/>
    </row>
    <row r="132" spans="1:5" ht="21.7" customHeight="1" x14ac:dyDescent="0.5">
      <c r="A132" s="325" t="s">
        <v>315</v>
      </c>
      <c r="B132" s="325" t="s">
        <v>316</v>
      </c>
      <c r="C132" s="326" t="s">
        <v>317</v>
      </c>
      <c r="D132" s="325" t="s">
        <v>318</v>
      </c>
    </row>
    <row r="133" spans="1:5" x14ac:dyDescent="0.5">
      <c r="A133" s="328" t="s">
        <v>545</v>
      </c>
      <c r="B133" s="341" t="s">
        <v>546</v>
      </c>
      <c r="C133" s="333" t="s">
        <v>370</v>
      </c>
      <c r="D133" s="345" t="s">
        <v>547</v>
      </c>
    </row>
    <row r="134" spans="1:5" x14ac:dyDescent="0.5">
      <c r="A134" s="328" t="s">
        <v>548</v>
      </c>
      <c r="B134" s="341" t="s">
        <v>549</v>
      </c>
      <c r="C134" s="345" t="s">
        <v>399</v>
      </c>
      <c r="D134" s="345">
        <v>2</v>
      </c>
    </row>
    <row r="135" spans="1:5" ht="28.7" x14ac:dyDescent="0.5">
      <c r="A135" s="328" t="s">
        <v>550</v>
      </c>
      <c r="B135" s="341" t="s">
        <v>551</v>
      </c>
      <c r="C135" s="345" t="s">
        <v>391</v>
      </c>
      <c r="D135" s="345">
        <v>100</v>
      </c>
    </row>
    <row r="136" spans="1:5" ht="28.7" x14ac:dyDescent="0.5">
      <c r="A136" s="328" t="s">
        <v>552</v>
      </c>
      <c r="B136" s="342" t="s">
        <v>553</v>
      </c>
      <c r="C136" s="345" t="s">
        <v>391</v>
      </c>
      <c r="D136" s="345">
        <v>0</v>
      </c>
    </row>
    <row r="137" spans="1:5" ht="28.7" x14ac:dyDescent="0.5">
      <c r="A137" s="328" t="s">
        <v>554</v>
      </c>
      <c r="B137" s="341" t="s">
        <v>555</v>
      </c>
      <c r="C137" s="345" t="s">
        <v>391</v>
      </c>
      <c r="D137" s="345">
        <v>0</v>
      </c>
    </row>
    <row r="138" spans="1:5" ht="43" x14ac:dyDescent="0.5">
      <c r="A138" s="328" t="s">
        <v>556</v>
      </c>
      <c r="B138" s="341" t="s">
        <v>557</v>
      </c>
      <c r="C138" s="345" t="s">
        <v>558</v>
      </c>
      <c r="D138" s="345">
        <v>0</v>
      </c>
      <c r="E138" s="372" t="s">
        <v>559</v>
      </c>
    </row>
    <row r="139" spans="1:5" ht="28.7" x14ac:dyDescent="0.5">
      <c r="A139" s="328" t="s">
        <v>560</v>
      </c>
      <c r="B139" s="341" t="s">
        <v>561</v>
      </c>
      <c r="C139" s="345" t="s">
        <v>391</v>
      </c>
      <c r="D139" s="345">
        <v>0</v>
      </c>
      <c r="E139" s="372"/>
    </row>
    <row r="140" spans="1:5" x14ac:dyDescent="0.5">
      <c r="A140" s="345"/>
      <c r="B140" s="345"/>
      <c r="C140" s="277"/>
      <c r="D140" s="345"/>
    </row>
  </sheetData>
  <dataConsolidate/>
  <mergeCells count="20">
    <mergeCell ref="E94:E98"/>
    <mergeCell ref="A1:F1"/>
    <mergeCell ref="E2:F2"/>
    <mergeCell ref="A27:D27"/>
    <mergeCell ref="A44:D44"/>
    <mergeCell ref="A65:C65"/>
    <mergeCell ref="E69:E77"/>
    <mergeCell ref="E78:E80"/>
    <mergeCell ref="A84:C84"/>
    <mergeCell ref="E86:E87"/>
    <mergeCell ref="E88:E93"/>
    <mergeCell ref="F88:F91"/>
    <mergeCell ref="A131:D131"/>
    <mergeCell ref="E138:E139"/>
    <mergeCell ref="E99:E103"/>
    <mergeCell ref="E104:E105"/>
    <mergeCell ref="E106:E108"/>
    <mergeCell ref="E109:E111"/>
    <mergeCell ref="E112:E113"/>
    <mergeCell ref="A117:D117"/>
  </mergeCells>
  <dataValidations count="4">
    <dataValidation type="list" allowBlank="1" showInputMessage="1" showErrorMessage="1" sqref="D133">
      <formula1>"Autofinanziamento, Project Finance, Consip, Partenariato Pubblico Privato (PPP)"</formula1>
    </dataValidation>
    <dataValidation type="list" allowBlank="1" showInputMessage="1" showErrorMessage="1" sqref="D86:D87 D124">
      <formula1>"Sì, No"</formula1>
    </dataValidation>
    <dataValidation type="list" allowBlank="1" showInputMessage="1" showErrorMessage="1" sqref="D67:D68">
      <formula1>"Regolazione predefinita, Traffic Adaptive Installation (TAI), Full Adaptive Installation (FAI)"</formula1>
    </dataValidation>
    <dataValidation type="list" allowBlank="1" showInputMessage="1" showErrorMessage="1" sqref="D29 D46">
      <formula1>"Lampade ai vapori di mercurio, Lampade fluorescenti compatte, Lampade a vapori di sodio a bassa pressione, Lampade a vapori di sodio ad alta pressione, LED"</formula1>
    </dataValidation>
  </dataValidations>
  <pageMargins left="0.7" right="0.7" top="0.75" bottom="0.75" header="0.3" footer="0.3"/>
  <pageSetup paperSize="9" orientation="portrait" horizontalDpi="1200" verticalDpi="1200" r:id="rId1"/>
  <tableParts count="7">
    <tablePart r:id="rId2"/>
    <tablePart r:id="rId3"/>
    <tablePart r:id="rId4"/>
    <tablePart r:id="rId5"/>
    <tablePart r:id="rId6"/>
    <tablePart r:id="rId7"/>
    <tablePart r:id="rId8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83"/>
  <sheetViews>
    <sheetView tabSelected="1" topLeftCell="C112" zoomScale="80" zoomScaleNormal="80" zoomScalePageLayoutView="80" workbookViewId="0">
      <selection activeCell="D145" sqref="D145"/>
    </sheetView>
  </sheetViews>
  <sheetFormatPr defaultColWidth="8.8203125" defaultRowHeight="14.35" x14ac:dyDescent="0.5"/>
  <cols>
    <col min="2" max="2" width="42.17578125" customWidth="1"/>
    <col min="3" max="3" width="95.3515625" bestFit="1" customWidth="1"/>
    <col min="4" max="4" width="77.3515625" customWidth="1"/>
    <col min="5" max="5" width="66" customWidth="1"/>
    <col min="6" max="6" width="97.46875" customWidth="1"/>
    <col min="7" max="7" width="55.17578125" bestFit="1" customWidth="1"/>
    <col min="8" max="8" width="51.8203125" customWidth="1"/>
    <col min="9" max="9" width="55" customWidth="1"/>
    <col min="10" max="10" width="54.46875" customWidth="1"/>
    <col min="11" max="11" width="40.17578125" customWidth="1"/>
    <col min="12" max="12" width="27.8203125" bestFit="1" customWidth="1"/>
    <col min="13" max="13" width="17.17578125" bestFit="1" customWidth="1"/>
    <col min="14" max="14" width="15.3515625" bestFit="1" customWidth="1"/>
    <col min="15" max="16" width="19.3515625" bestFit="1" customWidth="1"/>
    <col min="17" max="24" width="13.8203125" bestFit="1" customWidth="1"/>
  </cols>
  <sheetData>
    <row r="1" spans="1:16" ht="15.5" x14ac:dyDescent="0.35">
      <c r="A1" s="190" t="s">
        <v>249</v>
      </c>
      <c r="D1" s="318" t="s">
        <v>307</v>
      </c>
    </row>
    <row r="2" spans="1:16" ht="14.5" x14ac:dyDescent="0.35">
      <c r="D2" s="319" t="s">
        <v>308</v>
      </c>
    </row>
    <row r="3" spans="1:16" ht="14.5" x14ac:dyDescent="0.35">
      <c r="D3" s="76"/>
    </row>
    <row r="4" spans="1:16" ht="15" thickBot="1" x14ac:dyDescent="0.4">
      <c r="D4" s="76"/>
      <c r="H4" s="76"/>
      <c r="L4" s="143"/>
      <c r="O4" s="126"/>
      <c r="P4" s="127"/>
    </row>
    <row r="5" spans="1:16" ht="14.5" customHeight="1" x14ac:dyDescent="0.5">
      <c r="A5" s="388" t="s">
        <v>218</v>
      </c>
      <c r="B5" s="173" t="s">
        <v>24</v>
      </c>
      <c r="C5" s="173" t="s">
        <v>112</v>
      </c>
      <c r="D5" s="172" t="s">
        <v>214</v>
      </c>
      <c r="E5" s="173" t="s">
        <v>215</v>
      </c>
      <c r="F5" s="160" t="s">
        <v>216</v>
      </c>
      <c r="G5" s="173" t="s">
        <v>158</v>
      </c>
      <c r="H5" s="173" t="s">
        <v>217</v>
      </c>
      <c r="I5" s="173" t="s">
        <v>137</v>
      </c>
      <c r="J5" s="173" t="s">
        <v>138</v>
      </c>
      <c r="K5" s="173" t="s">
        <v>139</v>
      </c>
      <c r="L5" s="174" t="s">
        <v>140</v>
      </c>
      <c r="O5" s="128"/>
      <c r="P5" s="74"/>
    </row>
    <row r="6" spans="1:16" ht="14.5" customHeight="1" x14ac:dyDescent="0.5">
      <c r="A6" s="389"/>
      <c r="B6" s="225" t="s">
        <v>25</v>
      </c>
      <c r="C6" s="82" t="s">
        <v>93</v>
      </c>
      <c r="D6" s="184">
        <v>1500</v>
      </c>
      <c r="E6" s="82">
        <f>'Dettaglio strade (ENEA)'!C6</f>
        <v>6</v>
      </c>
      <c r="F6" s="82"/>
      <c r="G6" s="82">
        <v>0.9</v>
      </c>
      <c r="H6" s="184"/>
      <c r="I6" s="82">
        <v>80</v>
      </c>
      <c r="J6" s="188"/>
      <c r="K6" s="352">
        <f>'Dati in input'!D47</f>
        <v>90</v>
      </c>
      <c r="L6" s="355">
        <f>'Dati in input'!D49</f>
        <v>1</v>
      </c>
      <c r="O6" s="124"/>
      <c r="P6" s="74"/>
    </row>
    <row r="7" spans="1:16" ht="15" customHeight="1" x14ac:dyDescent="0.5">
      <c r="A7" s="389"/>
      <c r="B7" s="225" t="s">
        <v>99</v>
      </c>
      <c r="C7" s="393" t="s">
        <v>90</v>
      </c>
      <c r="D7" s="184"/>
      <c r="E7" s="82">
        <f>'Dettaglio strade (ENEA)'!C19</f>
        <v>7</v>
      </c>
      <c r="F7" s="82"/>
      <c r="G7" s="82">
        <v>1.1000000000000001</v>
      </c>
      <c r="H7" s="184"/>
      <c r="I7" s="82">
        <v>80</v>
      </c>
      <c r="J7" s="188"/>
      <c r="K7" s="186">
        <f>ROUNDDOWN(D7/'Dettaglio strade (ENEA)'!D19,0)</f>
        <v>0</v>
      </c>
      <c r="L7" s="82">
        <f t="shared" ref="L7:L17" si="0">ROUNDUP(IF(ISNUMBER(J7),K7/J7,K7/I7),0)</f>
        <v>0</v>
      </c>
    </row>
    <row r="8" spans="1:16" ht="15" customHeight="1" x14ac:dyDescent="0.5">
      <c r="A8" s="389"/>
      <c r="B8" s="225" t="s">
        <v>100</v>
      </c>
      <c r="C8" s="393"/>
      <c r="D8" s="184"/>
      <c r="E8" s="82">
        <f>'Dettaglio strade (ENEA)'!C32+2*1.5</f>
        <v>10</v>
      </c>
      <c r="F8" s="82"/>
      <c r="G8" s="82">
        <v>1.1000000000000001</v>
      </c>
      <c r="H8" s="184"/>
      <c r="I8" s="82">
        <v>80</v>
      </c>
      <c r="J8" s="188"/>
      <c r="K8" s="186">
        <f>ROUNDDOWN(D8/'Dettaglio strade (ENEA)'!D32,0)</f>
        <v>0</v>
      </c>
      <c r="L8" s="82">
        <f t="shared" si="0"/>
        <v>0</v>
      </c>
    </row>
    <row r="9" spans="1:16" ht="15" customHeight="1" x14ac:dyDescent="0.5">
      <c r="A9" s="389"/>
      <c r="B9" s="225" t="s">
        <v>101</v>
      </c>
      <c r="C9" s="394" t="s">
        <v>78</v>
      </c>
      <c r="D9" s="184"/>
      <c r="E9" s="185">
        <f>'Dettaglio strade (ENEA)'!C46+2*1.5</f>
        <v>9</v>
      </c>
      <c r="F9" s="82"/>
      <c r="G9" s="185">
        <v>1.6</v>
      </c>
      <c r="H9" s="184"/>
      <c r="I9" s="82">
        <v>80</v>
      </c>
      <c r="J9" s="188"/>
      <c r="K9" s="186">
        <f>ROUNDDOWN(D9/'Dettaglio strade (ENEA)'!D46,0)</f>
        <v>0</v>
      </c>
      <c r="L9" s="82">
        <f t="shared" si="0"/>
        <v>0</v>
      </c>
    </row>
    <row r="10" spans="1:16" ht="15" customHeight="1" x14ac:dyDescent="0.5">
      <c r="A10" s="389"/>
      <c r="B10" s="225" t="s">
        <v>102</v>
      </c>
      <c r="C10" s="394"/>
      <c r="D10" s="184"/>
      <c r="E10" s="185">
        <f>'Dettaglio strade (ENEA)'!C60</f>
        <v>8</v>
      </c>
      <c r="F10" s="82"/>
      <c r="G10" s="185">
        <v>1.6</v>
      </c>
      <c r="H10" s="184"/>
      <c r="I10" s="82">
        <v>80</v>
      </c>
      <c r="J10" s="188"/>
      <c r="K10" s="186">
        <f>ROUNDDOWN(D10/'Dettaglio strade (ENEA)'!D60,0)</f>
        <v>0</v>
      </c>
      <c r="L10" s="82">
        <f t="shared" si="0"/>
        <v>0</v>
      </c>
    </row>
    <row r="11" spans="1:16" ht="15" customHeight="1" x14ac:dyDescent="0.5">
      <c r="A11" s="389"/>
      <c r="B11" s="225" t="s">
        <v>103</v>
      </c>
      <c r="C11" s="394"/>
      <c r="D11" s="184"/>
      <c r="E11" s="185">
        <f>'Dettaglio strade (ENEA)'!C73+'Dettaglio strade (ENEA)'!G73</f>
        <v>10</v>
      </c>
      <c r="F11" s="82"/>
      <c r="G11" s="185">
        <v>1.5</v>
      </c>
      <c r="H11" s="184"/>
      <c r="I11" s="82">
        <v>80</v>
      </c>
      <c r="J11" s="188"/>
      <c r="K11" s="186">
        <f>ROUNDDOWN(D11/'Dettaglio strade (ENEA)'!D73,0)</f>
        <v>0</v>
      </c>
      <c r="L11" s="82">
        <f t="shared" si="0"/>
        <v>0</v>
      </c>
    </row>
    <row r="12" spans="1:16" ht="15" customHeight="1" x14ac:dyDescent="0.5">
      <c r="A12" s="389"/>
      <c r="B12" s="225" t="s">
        <v>104</v>
      </c>
      <c r="C12" s="394"/>
      <c r="D12" s="184"/>
      <c r="E12" s="185">
        <f>'Dettaglio strade (ENEA)'!C87+2*1.5</f>
        <v>13</v>
      </c>
      <c r="F12" s="82"/>
      <c r="G12" s="185">
        <v>1.6</v>
      </c>
      <c r="H12" s="184"/>
      <c r="I12" s="82">
        <v>80</v>
      </c>
      <c r="J12" s="188"/>
      <c r="K12" s="186">
        <f>ROUNDDOWN(D12/'Dettaglio strade (ENEA)'!D87,0)</f>
        <v>0</v>
      </c>
      <c r="L12" s="82">
        <f t="shared" si="0"/>
        <v>0</v>
      </c>
    </row>
    <row r="13" spans="1:16" ht="15" customHeight="1" x14ac:dyDescent="0.5">
      <c r="A13" s="389"/>
      <c r="B13" s="225" t="s">
        <v>32</v>
      </c>
      <c r="C13" s="82" t="s">
        <v>40</v>
      </c>
      <c r="D13" s="184"/>
      <c r="E13" s="187">
        <f>('Dettaglio strade (ENEA)'!C99+2.5)*2</f>
        <v>19</v>
      </c>
      <c r="F13" s="82"/>
      <c r="G13" s="185">
        <v>2.4500000000000002</v>
      </c>
      <c r="H13" s="184"/>
      <c r="I13" s="82">
        <v>80</v>
      </c>
      <c r="J13" s="188"/>
      <c r="K13" s="186">
        <f>ROUNDDOWN(D13/'Dettaglio strade (ENEA)'!D99*2,0)</f>
        <v>0</v>
      </c>
      <c r="L13" s="82">
        <f t="shared" si="0"/>
        <v>0</v>
      </c>
    </row>
    <row r="14" spans="1:16" ht="15" customHeight="1" x14ac:dyDescent="0.5">
      <c r="A14" s="389"/>
      <c r="B14" s="225" t="s">
        <v>105</v>
      </c>
      <c r="C14" s="82" t="s">
        <v>70</v>
      </c>
      <c r="D14" s="184"/>
      <c r="E14" s="187">
        <f>'Dettaglio strade (ENEA)'!C114</f>
        <v>12</v>
      </c>
      <c r="F14" s="82"/>
      <c r="G14" s="185">
        <v>3.4</v>
      </c>
      <c r="H14" s="184"/>
      <c r="I14" s="82">
        <v>80</v>
      </c>
      <c r="J14" s="188"/>
      <c r="K14" s="186">
        <f>ROUNDDOWN(D14/'Dettaglio strade (ENEA)'!D114*2,0)</f>
        <v>0</v>
      </c>
      <c r="L14" s="82">
        <f t="shared" si="0"/>
        <v>0</v>
      </c>
    </row>
    <row r="15" spans="1:16" ht="15" customHeight="1" x14ac:dyDescent="0.5">
      <c r="A15" s="389"/>
      <c r="B15" s="225" t="s">
        <v>34</v>
      </c>
      <c r="C15" s="82" t="s">
        <v>40</v>
      </c>
      <c r="D15" s="184"/>
      <c r="E15" s="82">
        <f>'Dettaglio strade (ENEA)'!C129</f>
        <v>4</v>
      </c>
      <c r="F15" s="82"/>
      <c r="G15" s="82">
        <v>2.4300000000000002</v>
      </c>
      <c r="H15" s="184"/>
      <c r="I15" s="82">
        <v>80</v>
      </c>
      <c r="J15" s="188"/>
      <c r="K15" s="186">
        <f>ROUNDDOWN(D15/'Dettaglio strade (ENEA)'!D129,0)</f>
        <v>0</v>
      </c>
      <c r="L15" s="82">
        <f t="shared" si="0"/>
        <v>0</v>
      </c>
    </row>
    <row r="16" spans="1:16" ht="15" customHeight="1" x14ac:dyDescent="0.5">
      <c r="A16" s="389"/>
      <c r="B16" s="226"/>
      <c r="C16" s="82" t="s">
        <v>70</v>
      </c>
      <c r="D16" s="188"/>
      <c r="E16" s="189"/>
      <c r="F16" s="188"/>
      <c r="G16" s="185">
        <v>3.4</v>
      </c>
      <c r="H16" s="188"/>
      <c r="I16" s="82">
        <v>80</v>
      </c>
      <c r="J16" s="188"/>
      <c r="K16" s="185">
        <f>IFERROR(ROUNDDOWN(D16/F16,0),0)</f>
        <v>0</v>
      </c>
      <c r="L16" s="82">
        <f t="shared" si="0"/>
        <v>0</v>
      </c>
    </row>
    <row r="17" spans="1:13" ht="15" customHeight="1" x14ac:dyDescent="0.5">
      <c r="A17" s="389"/>
      <c r="B17" s="226"/>
      <c r="C17" s="82" t="s">
        <v>40</v>
      </c>
      <c r="D17" s="188"/>
      <c r="E17" s="189"/>
      <c r="F17" s="188"/>
      <c r="G17" s="185">
        <v>2.4500000000000002</v>
      </c>
      <c r="H17" s="188"/>
      <c r="I17" s="82">
        <v>80</v>
      </c>
      <c r="J17" s="188"/>
      <c r="K17" s="185">
        <f>IFERROR(ROUNDDOWN(D17/F17,0),0)</f>
        <v>0</v>
      </c>
      <c r="L17" s="82">
        <f t="shared" si="0"/>
        <v>0</v>
      </c>
    </row>
    <row r="18" spans="1:13" ht="15" customHeight="1" x14ac:dyDescent="0.5">
      <c r="A18" s="389"/>
      <c r="B18" s="226"/>
      <c r="C18" s="82" t="s">
        <v>78</v>
      </c>
      <c r="D18" s="188"/>
      <c r="E18" s="189"/>
      <c r="F18" s="188"/>
      <c r="G18" s="185">
        <v>1.6</v>
      </c>
      <c r="H18" s="188"/>
      <c r="I18" s="82">
        <v>80</v>
      </c>
      <c r="J18" s="188"/>
      <c r="K18" s="185">
        <f>IFERROR(ROUNDDOWN(D18/F18,0),0)</f>
        <v>0</v>
      </c>
      <c r="L18" s="82">
        <f t="shared" ref="L18:L20" si="1">ROUNDUP(IF(ISNUMBER(J18),K18/J18,K18/I18),0)</f>
        <v>0</v>
      </c>
    </row>
    <row r="19" spans="1:13" ht="15" customHeight="1" x14ac:dyDescent="0.5">
      <c r="A19" s="389"/>
      <c r="B19" s="226"/>
      <c r="C19" s="82" t="s">
        <v>90</v>
      </c>
      <c r="D19" s="188"/>
      <c r="E19" s="189"/>
      <c r="F19" s="188"/>
      <c r="G19" s="185">
        <v>1.1000000000000001</v>
      </c>
      <c r="H19" s="188"/>
      <c r="I19" s="82">
        <v>80</v>
      </c>
      <c r="J19" s="188"/>
      <c r="K19" s="185">
        <f>IFERROR(ROUNDDOWN(D19/F19,0),0)</f>
        <v>0</v>
      </c>
      <c r="L19" s="82">
        <f t="shared" si="1"/>
        <v>0</v>
      </c>
    </row>
    <row r="20" spans="1:13" ht="15" customHeight="1" x14ac:dyDescent="0.5">
      <c r="A20" s="389"/>
      <c r="B20" s="226"/>
      <c r="C20" s="82" t="s">
        <v>93</v>
      </c>
      <c r="D20" s="188"/>
      <c r="E20" s="189"/>
      <c r="F20" s="188"/>
      <c r="G20" s="185">
        <v>0.9</v>
      </c>
      <c r="H20" s="188"/>
      <c r="I20" s="82">
        <v>80</v>
      </c>
      <c r="J20" s="188"/>
      <c r="K20" s="185">
        <f>IFERROR(ROUNDDOWN(D20/F20,0),0)</f>
        <v>0</v>
      </c>
      <c r="L20" s="82">
        <f t="shared" si="1"/>
        <v>0</v>
      </c>
    </row>
    <row r="21" spans="1:13" ht="16" customHeight="1" thickBot="1" x14ac:dyDescent="0.55000000000000004">
      <c r="A21" s="390"/>
      <c r="B21" s="180"/>
      <c r="C21" s="180"/>
      <c r="D21" s="175">
        <f>SUM(D6:D20)</f>
        <v>1500</v>
      </c>
      <c r="E21" s="176"/>
      <c r="F21" s="177"/>
      <c r="G21" s="178"/>
      <c r="H21" s="179">
        <f>SUM(H6:H20)</f>
        <v>0</v>
      </c>
      <c r="I21" s="180"/>
      <c r="J21" s="181"/>
      <c r="K21" s="182">
        <f>SUM(K6:K20)</f>
        <v>90</v>
      </c>
      <c r="L21" s="183">
        <f>SUM(L6:L20)</f>
        <v>1</v>
      </c>
    </row>
    <row r="22" spans="1:13" ht="14.5" x14ac:dyDescent="0.35">
      <c r="D22" s="147"/>
      <c r="E22" s="18"/>
      <c r="F22" s="147"/>
      <c r="G22" s="90"/>
      <c r="H22" s="19"/>
      <c r="I22" s="19"/>
      <c r="J22" s="19"/>
      <c r="K22" s="19"/>
      <c r="L22" s="146"/>
      <c r="M22" s="17"/>
    </row>
    <row r="23" spans="1:13" ht="15" thickBot="1" x14ac:dyDescent="0.4">
      <c r="D23" s="147"/>
      <c r="I23" s="18"/>
      <c r="J23" s="147"/>
      <c r="K23" s="90"/>
      <c r="L23" s="19"/>
      <c r="M23" s="17"/>
    </row>
    <row r="24" spans="1:13" ht="15" thickBot="1" x14ac:dyDescent="0.4">
      <c r="C24" s="74"/>
      <c r="D24" s="76" t="s">
        <v>224</v>
      </c>
      <c r="E24" s="18"/>
      <c r="F24" s="221" t="s">
        <v>228</v>
      </c>
      <c r="J24" s="90"/>
      <c r="K24" s="19"/>
      <c r="M24" s="17"/>
    </row>
    <row r="25" spans="1:13" ht="15" customHeight="1" thickBot="1" x14ac:dyDescent="0.55000000000000004">
      <c r="A25" s="398" t="s">
        <v>256</v>
      </c>
      <c r="B25" s="399"/>
      <c r="C25" s="230" t="s">
        <v>227</v>
      </c>
      <c r="D25" s="289" t="s">
        <v>226</v>
      </c>
      <c r="E25" s="290" t="s">
        <v>115</v>
      </c>
      <c r="F25" s="299" t="str">
        <f>IF(AND(OR(F27&gt;0,F28&gt;0,F29&gt;0,F30&gt;0,F32&gt;0),E25="si"),"ATTENZIONE!! Non è possibile avere un impianto REG","ok")</f>
        <v>ok</v>
      </c>
      <c r="J25" t="s">
        <v>106</v>
      </c>
      <c r="K25" s="19"/>
      <c r="M25" s="17"/>
    </row>
    <row r="26" spans="1:13" ht="15" customHeight="1" thickBot="1" x14ac:dyDescent="0.55000000000000004">
      <c r="A26" s="400"/>
      <c r="B26" s="401"/>
      <c r="D26" s="24" t="s">
        <v>98</v>
      </c>
      <c r="E26" s="25" t="s">
        <v>142</v>
      </c>
      <c r="F26" s="25" t="s">
        <v>141</v>
      </c>
      <c r="G26" s="26" t="s">
        <v>156</v>
      </c>
      <c r="H26" s="294" t="s">
        <v>228</v>
      </c>
      <c r="I26" s="25" t="s">
        <v>301</v>
      </c>
      <c r="J26" s="25" t="s">
        <v>302</v>
      </c>
      <c r="K26" s="25" t="s">
        <v>303</v>
      </c>
    </row>
    <row r="27" spans="1:13" ht="14.5" customHeight="1" x14ac:dyDescent="0.5">
      <c r="A27" s="400"/>
      <c r="B27" s="401"/>
      <c r="C27" s="410" t="s">
        <v>220</v>
      </c>
      <c r="D27" s="291" t="s">
        <v>280</v>
      </c>
      <c r="E27" s="428" t="s">
        <v>155</v>
      </c>
      <c r="F27" s="292">
        <v>4</v>
      </c>
      <c r="G27" s="293">
        <f>F27*'Prezzi smart adaptive lighting'!$C$4</f>
        <v>2500</v>
      </c>
      <c r="H27" s="425" t="str">
        <f>IF(OR($E$25="si",$F$32&gt;0),"non si può avere un impianto TAI","è possibile avere un impianto TAI")</f>
        <v>è possibile avere un impianto TAI</v>
      </c>
      <c r="I27" s="296" t="s">
        <v>304</v>
      </c>
      <c r="J27" s="381" t="s">
        <v>304</v>
      </c>
      <c r="K27" s="383" t="s">
        <v>304</v>
      </c>
    </row>
    <row r="28" spans="1:13" ht="14.5" customHeight="1" x14ac:dyDescent="0.5">
      <c r="A28" s="400"/>
      <c r="B28" s="401"/>
      <c r="C28" s="411"/>
      <c r="D28" s="163" t="s">
        <v>277</v>
      </c>
      <c r="E28" s="429"/>
      <c r="F28" s="131">
        <v>4</v>
      </c>
      <c r="G28" s="191">
        <f>F28*'Prezzi smart adaptive lighting'!$C$5</f>
        <v>4000</v>
      </c>
      <c r="H28" s="426"/>
      <c r="I28" s="308" t="s">
        <v>265</v>
      </c>
      <c r="J28" s="386"/>
      <c r="K28" s="387"/>
    </row>
    <row r="29" spans="1:13" ht="14.5" customHeight="1" x14ac:dyDescent="0.5">
      <c r="A29" s="400"/>
      <c r="B29" s="401"/>
      <c r="C29" s="411"/>
      <c r="D29" s="163" t="s">
        <v>276</v>
      </c>
      <c r="E29" s="429"/>
      <c r="F29" s="131"/>
      <c r="G29" s="191">
        <f>F29*'Prezzi smart adaptive lighting'!$C$5</f>
        <v>0</v>
      </c>
      <c r="H29" s="426"/>
      <c r="I29" s="308" t="s">
        <v>265</v>
      </c>
      <c r="J29" s="308" t="s">
        <v>269</v>
      </c>
      <c r="K29" s="387"/>
    </row>
    <row r="30" spans="1:13" ht="15" customHeight="1" thickBot="1" x14ac:dyDescent="0.55000000000000004">
      <c r="A30" s="400"/>
      <c r="B30" s="401"/>
      <c r="C30" s="411"/>
      <c r="D30" s="163" t="s">
        <v>278</v>
      </c>
      <c r="E30" s="430"/>
      <c r="F30" s="131"/>
      <c r="G30" s="191">
        <f>F30*'Prezzi smart adaptive lighting'!$C$5</f>
        <v>0</v>
      </c>
      <c r="H30" s="427"/>
      <c r="I30" s="308"/>
      <c r="J30" s="308"/>
      <c r="K30" s="308"/>
    </row>
    <row r="31" spans="1:13" ht="15" customHeight="1" thickBot="1" x14ac:dyDescent="0.55000000000000004">
      <c r="A31" s="400"/>
      <c r="B31" s="401"/>
      <c r="C31" s="412"/>
      <c r="D31" s="144" t="s">
        <v>295</v>
      </c>
      <c r="E31" s="283" t="str">
        <f>IF(SUM(F27:F30)&gt;=H21,"ok","ATTENZIONE: #sensori &lt; #incocri, procedere comunque?")</f>
        <v>ok</v>
      </c>
      <c r="F31" s="284">
        <f>SUM(F27:F30)</f>
        <v>8</v>
      </c>
      <c r="G31" s="120">
        <f>SUM(G27:G30)</f>
        <v>6500</v>
      </c>
      <c r="H31" s="295"/>
      <c r="I31" s="385" t="s">
        <v>304</v>
      </c>
      <c r="J31" s="385"/>
      <c r="K31" s="385"/>
    </row>
    <row r="32" spans="1:13" ht="29" thickBot="1" x14ac:dyDescent="0.55000000000000004">
      <c r="A32" s="400"/>
      <c r="B32" s="401"/>
      <c r="C32" s="413" t="s">
        <v>219</v>
      </c>
      <c r="D32" s="286" t="s">
        <v>264</v>
      </c>
      <c r="E32" s="279" t="s">
        <v>155</v>
      </c>
      <c r="F32" s="278"/>
      <c r="G32" s="285">
        <f>F32*'Prezzi smart adaptive lighting'!C6</f>
        <v>0</v>
      </c>
      <c r="H32" s="237" t="str">
        <f>IF(OR($E$25="si",F27&gt;0,F28&gt;0,F29&gt;0,F30&gt;0),"non si può avere un impianto FAI","è possibile avere un impianto FAI")</f>
        <v>non si può avere un impianto FAI</v>
      </c>
      <c r="I32" s="385"/>
      <c r="J32" s="385"/>
      <c r="K32" s="385"/>
    </row>
    <row r="33" spans="1:12" ht="14.7" thickBot="1" x14ac:dyDescent="0.55000000000000004">
      <c r="A33" s="402"/>
      <c r="B33" s="403"/>
      <c r="C33" s="414"/>
      <c r="D33" s="144" t="s">
        <v>296</v>
      </c>
      <c r="E33" s="283" t="str">
        <f>IF(F33&gt;=H21,"ok","ATTENZIONE! #sensori &lt; #incroci, procedere comunque?")</f>
        <v>ok</v>
      </c>
      <c r="F33" s="145">
        <f>F32</f>
        <v>0</v>
      </c>
      <c r="G33" s="170">
        <f>G32</f>
        <v>0</v>
      </c>
      <c r="H33" s="297"/>
      <c r="I33" s="385"/>
      <c r="J33" s="385"/>
      <c r="K33" s="385"/>
    </row>
    <row r="34" spans="1:12" ht="21" x14ac:dyDescent="0.35">
      <c r="A34" s="280"/>
      <c r="B34" s="280"/>
      <c r="C34" s="281"/>
      <c r="D34" s="14"/>
      <c r="E34" s="219"/>
      <c r="F34" s="18"/>
      <c r="G34" s="136"/>
      <c r="H34" s="282"/>
      <c r="I34" s="74"/>
      <c r="J34" s="74"/>
    </row>
    <row r="35" spans="1:12" ht="15" thickBot="1" x14ac:dyDescent="0.4"/>
    <row r="36" spans="1:12" ht="16" thickBot="1" x14ac:dyDescent="0.4">
      <c r="D36" s="223" t="s">
        <v>229</v>
      </c>
      <c r="E36" s="18"/>
    </row>
    <row r="37" spans="1:12" ht="14.7" thickBot="1" x14ac:dyDescent="0.55000000000000004">
      <c r="D37" s="224" t="s">
        <v>230</v>
      </c>
      <c r="E37" s="220" t="s">
        <v>115</v>
      </c>
    </row>
    <row r="38" spans="1:12" ht="14.7" thickBot="1" x14ac:dyDescent="0.55000000000000004">
      <c r="D38" s="12" t="s">
        <v>236</v>
      </c>
      <c r="E38" s="12"/>
    </row>
    <row r="39" spans="1:12" ht="15" thickBot="1" x14ac:dyDescent="0.4">
      <c r="D39" s="235" t="str">
        <f>IF(E37="si","Qual è il costo TOTALE del software di telegestione presente?","NON COMPILARE QUESTO CAMPO")</f>
        <v>NON COMPILARE QUESTO CAMPO</v>
      </c>
      <c r="E39" s="236"/>
    </row>
    <row r="40" spans="1:12" ht="14.5" x14ac:dyDescent="0.35">
      <c r="D40" s="14"/>
      <c r="E40" s="18"/>
    </row>
    <row r="41" spans="1:12" ht="15" thickBot="1" x14ac:dyDescent="0.4">
      <c r="D41" s="76" t="s">
        <v>225</v>
      </c>
      <c r="H41" t="s">
        <v>106</v>
      </c>
    </row>
    <row r="42" spans="1:12" ht="15" thickBot="1" x14ac:dyDescent="0.4">
      <c r="B42" s="12"/>
      <c r="D42" s="300" t="s">
        <v>285</v>
      </c>
      <c r="E42" s="137" t="s">
        <v>98</v>
      </c>
      <c r="F42" s="160" t="s">
        <v>142</v>
      </c>
      <c r="G42" s="160" t="s">
        <v>141</v>
      </c>
      <c r="H42" s="161" t="s">
        <v>156</v>
      </c>
      <c r="I42" s="25" t="s">
        <v>301</v>
      </c>
      <c r="J42" s="25" t="s">
        <v>302</v>
      </c>
      <c r="K42" s="25" t="s">
        <v>303</v>
      </c>
    </row>
    <row r="43" spans="1:12" ht="23.7" thickBot="1" x14ac:dyDescent="0.55000000000000004">
      <c r="A43" s="404" t="s">
        <v>257</v>
      </c>
      <c r="B43" s="405"/>
      <c r="C43" s="431" t="s">
        <v>221</v>
      </c>
      <c r="D43" s="301" t="s">
        <v>199</v>
      </c>
      <c r="E43" s="302" t="s">
        <v>306</v>
      </c>
      <c r="F43" s="317" t="s">
        <v>305</v>
      </c>
      <c r="G43" s="131" t="s">
        <v>114</v>
      </c>
      <c r="H43" s="304"/>
      <c r="I43" s="383" t="s">
        <v>304</v>
      </c>
      <c r="J43" s="381" t="s">
        <v>304</v>
      </c>
      <c r="K43" s="383" t="s">
        <v>304</v>
      </c>
    </row>
    <row r="44" spans="1:12" ht="14.5" customHeight="1" x14ac:dyDescent="0.5">
      <c r="A44" s="406"/>
      <c r="B44" s="407"/>
      <c r="C44" s="432"/>
      <c r="D44" s="395" t="s">
        <v>284</v>
      </c>
      <c r="E44" s="291" t="s">
        <v>280</v>
      </c>
      <c r="F44" s="429" t="s">
        <v>155</v>
      </c>
      <c r="G44" s="292">
        <v>0</v>
      </c>
      <c r="H44" s="305">
        <f>G44*'Prezzi smart adaptive lighting'!$C$4</f>
        <v>0</v>
      </c>
      <c r="I44" s="384"/>
      <c r="J44" s="382"/>
      <c r="K44" s="384"/>
      <c r="L44" s="218" t="s">
        <v>223</v>
      </c>
    </row>
    <row r="45" spans="1:12" ht="14.5" customHeight="1" x14ac:dyDescent="0.5">
      <c r="A45" s="406"/>
      <c r="B45" s="407"/>
      <c r="C45" s="432"/>
      <c r="D45" s="396"/>
      <c r="E45" s="163" t="s">
        <v>277</v>
      </c>
      <c r="F45" s="429"/>
      <c r="G45" s="131">
        <v>0</v>
      </c>
      <c r="H45" s="222">
        <f>G45*'Prezzi smart adaptive lighting'!$C$5</f>
        <v>0</v>
      </c>
      <c r="I45" s="309"/>
      <c r="J45" s="382"/>
      <c r="K45" s="384"/>
      <c r="L45" s="218" t="s">
        <v>223</v>
      </c>
    </row>
    <row r="46" spans="1:12" ht="14.5" customHeight="1" x14ac:dyDescent="0.5">
      <c r="A46" s="406"/>
      <c r="B46" s="407"/>
      <c r="C46" s="432"/>
      <c r="D46" s="396"/>
      <c r="E46" s="163" t="s">
        <v>276</v>
      </c>
      <c r="F46" s="429"/>
      <c r="G46" s="131">
        <v>0</v>
      </c>
      <c r="H46" s="222">
        <f>G46*'Prezzi smart adaptive lighting'!$C$5</f>
        <v>0</v>
      </c>
      <c r="I46" s="309"/>
      <c r="J46" s="311"/>
      <c r="K46" s="384"/>
      <c r="L46" s="218" t="s">
        <v>223</v>
      </c>
    </row>
    <row r="47" spans="1:12" ht="15" customHeight="1" thickBot="1" x14ac:dyDescent="0.55000000000000004">
      <c r="A47" s="406"/>
      <c r="B47" s="407"/>
      <c r="C47" s="432"/>
      <c r="D47" s="397"/>
      <c r="E47" s="163" t="s">
        <v>278</v>
      </c>
      <c r="F47" s="434"/>
      <c r="G47" s="131">
        <v>0</v>
      </c>
      <c r="H47" s="191">
        <f>G47*'Prezzi smart adaptive lighting'!$C$5</f>
        <v>0</v>
      </c>
      <c r="I47" s="310"/>
      <c r="J47" s="312"/>
      <c r="K47" s="313"/>
      <c r="L47" s="218" t="s">
        <v>223</v>
      </c>
    </row>
    <row r="48" spans="1:12" ht="14.5" customHeight="1" x14ac:dyDescent="0.5">
      <c r="A48" s="406"/>
      <c r="B48" s="407"/>
      <c r="C48" s="432"/>
      <c r="D48" s="395" t="s">
        <v>286</v>
      </c>
      <c r="E48" s="163" t="s">
        <v>171</v>
      </c>
      <c r="F48" s="162" t="s">
        <v>205</v>
      </c>
      <c r="G48" s="131">
        <v>0</v>
      </c>
      <c r="H48" s="192">
        <f>G48*'Prezzi servizi "smart"'!$C$17</f>
        <v>0</v>
      </c>
      <c r="I48" s="303"/>
      <c r="J48" s="303"/>
      <c r="K48" s="303"/>
    </row>
    <row r="49" spans="1:11" ht="28.7" x14ac:dyDescent="0.5">
      <c r="A49" s="406"/>
      <c r="B49" s="407"/>
      <c r="C49" s="432"/>
      <c r="D49" s="396"/>
      <c r="E49" s="168" t="s">
        <v>279</v>
      </c>
      <c r="F49" s="169" t="s">
        <v>206</v>
      </c>
      <c r="G49" s="131">
        <v>0</v>
      </c>
      <c r="H49" s="193">
        <f>G49*'Prezzi servizi "smart"'!$C$18</f>
        <v>0</v>
      </c>
      <c r="I49" s="303"/>
      <c r="J49" s="303"/>
      <c r="K49" s="303"/>
    </row>
    <row r="50" spans="1:11" ht="15" customHeight="1" thickBot="1" x14ac:dyDescent="0.55000000000000004">
      <c r="A50" s="406"/>
      <c r="B50" s="407"/>
      <c r="C50" s="432"/>
      <c r="D50" s="397"/>
      <c r="E50" s="164" t="s">
        <v>168</v>
      </c>
      <c r="F50" s="162" t="s">
        <v>207</v>
      </c>
      <c r="G50" s="131">
        <v>0</v>
      </c>
      <c r="H50" s="192">
        <f>G50*'Prezzi servizi "smart"'!$C$19</f>
        <v>0</v>
      </c>
      <c r="I50" s="306"/>
      <c r="J50" s="295"/>
      <c r="K50" s="295"/>
    </row>
    <row r="51" spans="1:11" ht="14.5" customHeight="1" x14ac:dyDescent="0.5">
      <c r="A51" s="406"/>
      <c r="B51" s="407"/>
      <c r="C51" s="432"/>
      <c r="D51" s="395" t="s">
        <v>287</v>
      </c>
      <c r="E51" s="163" t="s">
        <v>281</v>
      </c>
      <c r="F51" s="435" t="s">
        <v>208</v>
      </c>
      <c r="G51" s="131">
        <v>0</v>
      </c>
      <c r="H51" s="192">
        <f>G51*'Prezzi servizi "smart"'!$C$25</f>
        <v>0</v>
      </c>
      <c r="I51" s="307"/>
      <c r="J51" s="295"/>
      <c r="K51" s="295"/>
    </row>
    <row r="52" spans="1:11" ht="14.5" customHeight="1" x14ac:dyDescent="0.5">
      <c r="A52" s="406"/>
      <c r="B52" s="407"/>
      <c r="C52" s="432"/>
      <c r="D52" s="396"/>
      <c r="E52" s="163" t="s">
        <v>162</v>
      </c>
      <c r="F52" s="436"/>
      <c r="G52" s="131">
        <v>0</v>
      </c>
      <c r="H52" s="192">
        <f>'Prezzi servizi "smart"'!$C$26*'Foglio di calcolo'!G52</f>
        <v>0</v>
      </c>
      <c r="I52" s="307"/>
      <c r="J52" s="295"/>
      <c r="K52" s="295"/>
    </row>
    <row r="53" spans="1:11" ht="15" customHeight="1" thickBot="1" x14ac:dyDescent="0.55000000000000004">
      <c r="A53" s="406"/>
      <c r="B53" s="407"/>
      <c r="C53" s="432"/>
      <c r="D53" s="397"/>
      <c r="E53" s="164" t="s">
        <v>282</v>
      </c>
      <c r="F53" s="437"/>
      <c r="G53" s="131">
        <v>0</v>
      </c>
      <c r="H53" s="192">
        <f>G53*'Prezzi servizi "smart"'!$C$27</f>
        <v>0</v>
      </c>
      <c r="I53" s="307"/>
      <c r="J53" s="295"/>
      <c r="K53" s="295"/>
    </row>
    <row r="54" spans="1:11" ht="24" customHeight="1" thickBot="1" x14ac:dyDescent="0.55000000000000004">
      <c r="A54" s="406"/>
      <c r="B54" s="407"/>
      <c r="C54" s="432"/>
      <c r="D54" s="274" t="s">
        <v>288</v>
      </c>
      <c r="E54" s="168" t="s">
        <v>283</v>
      </c>
      <c r="F54" s="275" t="s">
        <v>235</v>
      </c>
      <c r="G54" s="131">
        <v>0</v>
      </c>
      <c r="H54" s="258">
        <f>G54*'Prezzi servizi "smart"'!$H$11</f>
        <v>0</v>
      </c>
      <c r="I54" s="307"/>
      <c r="J54" s="295"/>
      <c r="K54" s="295"/>
    </row>
    <row r="55" spans="1:11" ht="14.5" customHeight="1" x14ac:dyDescent="0.5">
      <c r="A55" s="406"/>
      <c r="B55" s="407"/>
      <c r="C55" s="432"/>
      <c r="D55" s="395" t="s">
        <v>289</v>
      </c>
      <c r="E55" s="163" t="s">
        <v>181</v>
      </c>
      <c r="F55" s="261" t="s">
        <v>209</v>
      </c>
      <c r="G55" s="131">
        <v>0</v>
      </c>
      <c r="H55" s="192">
        <f>G55*'Prezzi servizi "smart"'!$C$33</f>
        <v>0</v>
      </c>
      <c r="I55" s="307"/>
      <c r="J55" s="295"/>
      <c r="K55" s="295"/>
    </row>
    <row r="56" spans="1:11" ht="15" customHeight="1" thickBot="1" x14ac:dyDescent="0.55000000000000004">
      <c r="A56" s="406"/>
      <c r="B56" s="407"/>
      <c r="C56" s="433"/>
      <c r="D56" s="397"/>
      <c r="E56" s="163" t="s">
        <v>176</v>
      </c>
      <c r="F56" s="171" t="s">
        <v>210</v>
      </c>
      <c r="G56" s="131">
        <v>0</v>
      </c>
      <c r="H56" s="192">
        <f>G56*'Prezzi servizi "smart"'!$C$27</f>
        <v>0</v>
      </c>
      <c r="I56" s="307"/>
      <c r="J56" s="295"/>
      <c r="K56" s="295"/>
    </row>
    <row r="57" spans="1:11" ht="15" customHeight="1" thickBot="1" x14ac:dyDescent="0.55000000000000004">
      <c r="A57" s="406"/>
      <c r="B57" s="407"/>
      <c r="C57" s="267"/>
      <c r="E57" s="254" t="s">
        <v>111</v>
      </c>
      <c r="F57" s="255"/>
      <c r="G57" s="256">
        <f>SUM(G44:G56)</f>
        <v>0</v>
      </c>
      <c r="H57" s="257">
        <f>SUM(H44:H56)</f>
        <v>0</v>
      </c>
      <c r="I57" s="307"/>
      <c r="J57" s="295"/>
      <c r="K57" s="295"/>
    </row>
    <row r="58" spans="1:11" ht="14.5" customHeight="1" thickBot="1" x14ac:dyDescent="0.55000000000000004">
      <c r="A58" s="406"/>
      <c r="B58" s="407"/>
      <c r="C58" s="267"/>
      <c r="D58" s="12"/>
      <c r="I58" s="18"/>
    </row>
    <row r="59" spans="1:11" ht="15" customHeight="1" thickBot="1" x14ac:dyDescent="0.55000000000000004">
      <c r="A59" s="406"/>
      <c r="B59" s="407"/>
      <c r="C59" s="267"/>
      <c r="D59" s="12"/>
      <c r="E59" s="24" t="s">
        <v>98</v>
      </c>
      <c r="F59" s="25" t="s">
        <v>142</v>
      </c>
      <c r="G59" s="25" t="s">
        <v>141</v>
      </c>
      <c r="H59" s="26" t="s">
        <v>156</v>
      </c>
      <c r="I59" s="18"/>
    </row>
    <row r="60" spans="1:11" ht="24" customHeight="1" thickBot="1" x14ac:dyDescent="0.55000000000000004">
      <c r="A60" s="406"/>
      <c r="B60" s="407"/>
      <c r="C60" s="421" t="s">
        <v>222</v>
      </c>
      <c r="D60" s="266" t="s">
        <v>288</v>
      </c>
      <c r="E60" s="156" t="s">
        <v>262</v>
      </c>
      <c r="F60" s="275" t="s">
        <v>235</v>
      </c>
      <c r="G60" s="113">
        <v>0</v>
      </c>
      <c r="H60" s="194">
        <f>G60*'Prezzi servizi "smart"'!$H$12</f>
        <v>0</v>
      </c>
      <c r="I60" s="124"/>
    </row>
    <row r="61" spans="1:11" ht="24" customHeight="1" thickBot="1" x14ac:dyDescent="0.55000000000000004">
      <c r="A61" s="406"/>
      <c r="B61" s="407"/>
      <c r="C61" s="422"/>
      <c r="D61" s="266" t="s">
        <v>292</v>
      </c>
      <c r="E61" s="155" t="s">
        <v>163</v>
      </c>
      <c r="F61" s="276" t="s">
        <v>213</v>
      </c>
      <c r="G61" s="113">
        <v>0</v>
      </c>
      <c r="H61" s="195">
        <f>G61*'Prezzi servizi "smart"'!$H$17</f>
        <v>0</v>
      </c>
      <c r="I61" s="18"/>
    </row>
    <row r="62" spans="1:11" ht="14.5" customHeight="1" thickBot="1" x14ac:dyDescent="0.55000000000000004">
      <c r="A62" s="406"/>
      <c r="B62" s="407"/>
      <c r="C62" s="273"/>
      <c r="E62" s="144" t="s">
        <v>111</v>
      </c>
      <c r="F62" s="158"/>
      <c r="G62" s="145">
        <f>SUM(G60:G61)</f>
        <v>0</v>
      </c>
      <c r="H62" s="170">
        <f>SUM(H60:H61)</f>
        <v>0</v>
      </c>
      <c r="I62" s="18"/>
    </row>
    <row r="63" spans="1:11" ht="15" customHeight="1" thickBot="1" x14ac:dyDescent="0.55000000000000004">
      <c r="A63" s="406"/>
      <c r="B63" s="407"/>
      <c r="C63" s="272"/>
      <c r="I63" s="18"/>
    </row>
    <row r="64" spans="1:11" ht="15" customHeight="1" thickBot="1" x14ac:dyDescent="0.55000000000000004">
      <c r="A64" s="406"/>
      <c r="B64" s="407"/>
      <c r="C64" s="272"/>
      <c r="E64" s="25" t="s">
        <v>98</v>
      </c>
      <c r="F64" s="25" t="s">
        <v>142</v>
      </c>
      <c r="G64" s="25" t="s">
        <v>141</v>
      </c>
      <c r="H64" s="26" t="s">
        <v>156</v>
      </c>
      <c r="I64" s="18"/>
    </row>
    <row r="65" spans="1:14" ht="15.5" customHeight="1" x14ac:dyDescent="0.5">
      <c r="A65" s="406"/>
      <c r="B65" s="407"/>
      <c r="C65" s="421" t="s">
        <v>290</v>
      </c>
      <c r="D65" s="423" t="s">
        <v>291</v>
      </c>
      <c r="E65" s="227" t="s">
        <v>169</v>
      </c>
      <c r="F65" s="171" t="s">
        <v>211</v>
      </c>
      <c r="G65" s="131">
        <v>0</v>
      </c>
      <c r="H65" s="270">
        <f>G65*'Prezzi servizi "smart"'!$H$4</f>
        <v>0</v>
      </c>
    </row>
    <row r="66" spans="1:14" ht="15" customHeight="1" thickBot="1" x14ac:dyDescent="0.55000000000000004">
      <c r="A66" s="408"/>
      <c r="B66" s="409"/>
      <c r="C66" s="422"/>
      <c r="D66" s="424"/>
      <c r="E66" s="227" t="s">
        <v>170</v>
      </c>
      <c r="F66" s="162" t="s">
        <v>207</v>
      </c>
      <c r="G66" s="131">
        <v>0</v>
      </c>
      <c r="H66" s="270">
        <f>G66*'Prezzi servizi "smart"'!$H$5</f>
        <v>0</v>
      </c>
    </row>
    <row r="67" spans="1:14" ht="15" thickBot="1" x14ac:dyDescent="0.4">
      <c r="E67" s="144" t="s">
        <v>111</v>
      </c>
      <c r="F67" s="158"/>
      <c r="G67" s="145">
        <f>SUM(G65:G66)</f>
        <v>0</v>
      </c>
      <c r="H67" s="170">
        <f>SUM(H65:H66)</f>
        <v>0</v>
      </c>
    </row>
    <row r="68" spans="1:14" ht="14.5" x14ac:dyDescent="0.35">
      <c r="E68" s="14"/>
      <c r="F68" s="268"/>
      <c r="G68" s="271"/>
      <c r="H68" s="269"/>
    </row>
    <row r="70" spans="1:14" ht="14.5" x14ac:dyDescent="0.35">
      <c r="C70" s="240" t="s">
        <v>18</v>
      </c>
      <c r="D70" s="241"/>
      <c r="E70" s="18"/>
      <c r="F70" s="18"/>
      <c r="G70" s="18"/>
      <c r="H70" s="18"/>
      <c r="I70" s="18"/>
      <c r="J70" s="18"/>
    </row>
    <row r="71" spans="1:14" ht="14.5" x14ac:dyDescent="0.35">
      <c r="C71" s="153" t="s">
        <v>21</v>
      </c>
      <c r="D71" s="159">
        <f>K21</f>
        <v>90</v>
      </c>
      <c r="J71" s="84"/>
      <c r="K71" s="84"/>
      <c r="L71" s="84"/>
      <c r="M71" s="84"/>
      <c r="N71" s="84"/>
    </row>
    <row r="72" spans="1:14" ht="14.5" x14ac:dyDescent="0.35">
      <c r="C72" s="150" t="s">
        <v>20</v>
      </c>
      <c r="D72" s="157">
        <f>L21</f>
        <v>1</v>
      </c>
      <c r="J72" s="84"/>
      <c r="K72" s="94"/>
      <c r="L72" s="94"/>
      <c r="M72" s="94"/>
      <c r="N72" s="93"/>
    </row>
    <row r="73" spans="1:14" ht="14.5" x14ac:dyDescent="0.35">
      <c r="C73" s="150" t="s">
        <v>250</v>
      </c>
      <c r="D73" s="157">
        <f>SUM(F27:F30)</f>
        <v>8</v>
      </c>
      <c r="I73" s="84"/>
      <c r="J73" s="93"/>
      <c r="K73" s="93"/>
      <c r="L73" s="93"/>
      <c r="M73" s="93"/>
    </row>
    <row r="74" spans="1:14" ht="14.5" x14ac:dyDescent="0.35">
      <c r="C74" s="150" t="s">
        <v>275</v>
      </c>
      <c r="D74" s="157">
        <f>F32</f>
        <v>0</v>
      </c>
      <c r="I74" s="84"/>
      <c r="J74" s="93"/>
      <c r="K74" s="93"/>
      <c r="L74" s="93"/>
      <c r="M74" s="93"/>
    </row>
    <row r="75" spans="1:14" ht="14.5" x14ac:dyDescent="0.35">
      <c r="C75" s="16" t="s">
        <v>197</v>
      </c>
      <c r="D75" s="157">
        <f>IF(G43="si",L21,0)</f>
        <v>1</v>
      </c>
      <c r="I75" s="84"/>
      <c r="J75" s="93"/>
      <c r="K75" s="93"/>
      <c r="L75" s="93"/>
      <c r="M75" s="93"/>
    </row>
    <row r="76" spans="1:14" ht="14.5" x14ac:dyDescent="0.35">
      <c r="C76" s="150" t="s">
        <v>251</v>
      </c>
      <c r="D76" s="157">
        <f>SUM(G44:G47)</f>
        <v>0</v>
      </c>
      <c r="I76" s="89"/>
      <c r="J76" s="86"/>
      <c r="K76" s="85"/>
      <c r="L76" s="85"/>
      <c r="M76" s="93"/>
    </row>
    <row r="77" spans="1:14" ht="14.5" x14ac:dyDescent="0.35">
      <c r="C77" s="16" t="s">
        <v>187</v>
      </c>
      <c r="D77" s="157">
        <f>G48+G49</f>
        <v>0</v>
      </c>
      <c r="I77" s="87"/>
      <c r="J77" s="87"/>
      <c r="K77" s="87"/>
      <c r="L77" s="87"/>
      <c r="M77" s="93"/>
    </row>
    <row r="78" spans="1:14" ht="14.5" x14ac:dyDescent="0.35">
      <c r="C78" s="16" t="s">
        <v>189</v>
      </c>
      <c r="D78" s="157">
        <f>G50</f>
        <v>0</v>
      </c>
      <c r="I78" s="88"/>
      <c r="J78" s="94"/>
      <c r="K78" s="94"/>
      <c r="L78" s="88"/>
      <c r="M78" s="93"/>
    </row>
    <row r="79" spans="1:14" ht="14.5" x14ac:dyDescent="0.35">
      <c r="C79" s="16" t="s">
        <v>183</v>
      </c>
      <c r="D79" s="157">
        <f>SUM(G51:G53)</f>
        <v>0</v>
      </c>
      <c r="I79" s="88"/>
      <c r="J79" s="93"/>
      <c r="K79" s="93"/>
      <c r="L79" s="88"/>
      <c r="M79" s="93"/>
    </row>
    <row r="80" spans="1:14" ht="14.5" x14ac:dyDescent="0.35">
      <c r="C80" s="16" t="s">
        <v>184</v>
      </c>
      <c r="D80" s="157">
        <f>G55</f>
        <v>0</v>
      </c>
      <c r="I80" s="88"/>
      <c r="J80" s="93"/>
      <c r="K80" s="93"/>
      <c r="L80" s="88"/>
      <c r="M80" s="93"/>
    </row>
    <row r="81" spans="3:13" ht="14.5" x14ac:dyDescent="0.35">
      <c r="C81" s="16" t="s">
        <v>185</v>
      </c>
      <c r="D81" s="157">
        <f>G56</f>
        <v>0</v>
      </c>
      <c r="F81" s="391" t="s">
        <v>240</v>
      </c>
      <c r="G81" s="392"/>
      <c r="I81" s="88"/>
      <c r="J81" s="93"/>
      <c r="K81" s="93"/>
      <c r="L81" s="88"/>
      <c r="M81" s="93"/>
    </row>
    <row r="82" spans="3:13" ht="14.5" x14ac:dyDescent="0.35">
      <c r="C82" s="16" t="s">
        <v>182</v>
      </c>
      <c r="D82" s="157">
        <f>G65</f>
        <v>0</v>
      </c>
      <c r="I82" s="88"/>
      <c r="J82" s="88"/>
      <c r="K82" s="88"/>
      <c r="L82" s="88"/>
      <c r="M82" s="84"/>
    </row>
    <row r="83" spans="3:13" ht="14.5" x14ac:dyDescent="0.35">
      <c r="C83" s="16" t="s">
        <v>274</v>
      </c>
      <c r="D83" s="157">
        <f>G60+G54</f>
        <v>0</v>
      </c>
      <c r="F83" s="419" t="s">
        <v>118</v>
      </c>
      <c r="G83" s="420"/>
      <c r="I83" s="88"/>
      <c r="J83" s="88"/>
      <c r="K83" s="88"/>
      <c r="L83" s="88"/>
      <c r="M83" s="84"/>
    </row>
    <row r="84" spans="3:13" ht="14.5" x14ac:dyDescent="0.35">
      <c r="C84" s="150" t="s">
        <v>188</v>
      </c>
      <c r="D84" s="157">
        <f>G61</f>
        <v>0</v>
      </c>
      <c r="F84" s="20" t="s">
        <v>107</v>
      </c>
      <c r="G84" s="116" t="s">
        <v>115</v>
      </c>
      <c r="I84" s="19"/>
      <c r="J84" s="19"/>
      <c r="K84" s="19"/>
      <c r="L84" s="19"/>
    </row>
    <row r="85" spans="3:13" ht="14.5" x14ac:dyDescent="0.35">
      <c r="C85" s="154" t="s">
        <v>186</v>
      </c>
      <c r="D85" s="4">
        <f>G66</f>
        <v>0</v>
      </c>
      <c r="F85" s="22" t="s">
        <v>131</v>
      </c>
      <c r="G85" s="122">
        <f>G86*(1-G88)</f>
        <v>1215</v>
      </c>
      <c r="I85" s="19"/>
      <c r="J85" s="19"/>
      <c r="K85" s="19"/>
      <c r="L85" s="19"/>
    </row>
    <row r="86" spans="3:13" ht="14.5" x14ac:dyDescent="0.35">
      <c r="F86" s="1" t="s">
        <v>129</v>
      </c>
      <c r="G86" s="78">
        <f>'Prezzi smart adaptive lighting'!F15*D71</f>
        <v>1350</v>
      </c>
      <c r="I86" s="19"/>
      <c r="J86" s="19"/>
      <c r="K86" s="19"/>
      <c r="L86" s="19"/>
    </row>
    <row r="87" spans="3:13" ht="14.5" x14ac:dyDescent="0.35">
      <c r="C87" s="238" t="s">
        <v>14</v>
      </c>
      <c r="D87" s="239"/>
      <c r="F87" s="243" t="s">
        <v>237</v>
      </c>
      <c r="G87" s="244">
        <f>G86-G85</f>
        <v>135</v>
      </c>
      <c r="I87" s="19"/>
      <c r="J87" s="19"/>
      <c r="K87" s="19"/>
      <c r="L87" s="19"/>
    </row>
    <row r="88" spans="3:13" ht="14.5" x14ac:dyDescent="0.35">
      <c r="C88" s="356" t="s">
        <v>575</v>
      </c>
      <c r="D88" s="357">
        <f>D71*'Prezzi smart adaptive lighting'!F28</f>
        <v>23400</v>
      </c>
      <c r="F88" s="22" t="s">
        <v>17</v>
      </c>
      <c r="G88" s="117">
        <f>IF(E25="si",10%,IF(OR(F27&gt;0,F28&gt;0,F29&gt;0,F30&gt;0,F32&gt;0),10%,0))</f>
        <v>0.1</v>
      </c>
      <c r="I88" s="19"/>
      <c r="J88" s="19"/>
      <c r="K88" s="19"/>
      <c r="L88" s="19"/>
    </row>
    <row r="89" spans="3:13" ht="14.5" x14ac:dyDescent="0.35">
      <c r="C89" s="356" t="s">
        <v>576</v>
      </c>
      <c r="D89" s="358">
        <f>'Prezzi smart adaptive lighting'!F29</f>
        <v>1500</v>
      </c>
      <c r="I89" s="19"/>
      <c r="J89" s="19"/>
      <c r="K89" s="19"/>
      <c r="L89" s="19"/>
    </row>
    <row r="90" spans="3:13" ht="14.5" x14ac:dyDescent="0.35">
      <c r="C90" s="356" t="s">
        <v>577</v>
      </c>
      <c r="D90" s="358">
        <f>D71*'Prezzi smart adaptive lighting'!F30</f>
        <v>45000</v>
      </c>
      <c r="I90" s="19"/>
      <c r="J90" s="19"/>
      <c r="K90" s="19"/>
      <c r="L90" s="19"/>
    </row>
    <row r="91" spans="3:13" ht="14.5" x14ac:dyDescent="0.35">
      <c r="C91" s="356" t="s">
        <v>578</v>
      </c>
      <c r="D91" s="359">
        <f>'Prezzi smart adaptive lighting'!F31</f>
        <v>1000</v>
      </c>
      <c r="I91" s="19"/>
      <c r="J91" s="19"/>
      <c r="K91" s="19"/>
      <c r="L91" s="19"/>
    </row>
    <row r="92" spans="3:13" x14ac:dyDescent="0.5">
      <c r="C92" s="356" t="s">
        <v>579</v>
      </c>
      <c r="D92" s="359">
        <f>'Prezzi smart adaptive lighting'!F32</f>
        <v>1000</v>
      </c>
      <c r="F92" s="419" t="s">
        <v>19</v>
      </c>
      <c r="G92" s="420"/>
      <c r="H92" s="18"/>
      <c r="I92" s="18"/>
      <c r="J92" s="18"/>
      <c r="K92" s="18"/>
      <c r="L92" s="18"/>
    </row>
    <row r="93" spans="3:13" ht="14.5" x14ac:dyDescent="0.35">
      <c r="C93" s="91" t="s">
        <v>252</v>
      </c>
      <c r="D93" s="288">
        <f>SUM(G26:G29)</f>
        <v>6500</v>
      </c>
      <c r="F93" s="20" t="s">
        <v>113</v>
      </c>
      <c r="G93" s="95">
        <v>0.2</v>
      </c>
    </row>
    <row r="94" spans="3:13" ht="14.5" x14ac:dyDescent="0.35">
      <c r="C94" s="91" t="s">
        <v>270</v>
      </c>
      <c r="D94" s="157">
        <f>F32</f>
        <v>0</v>
      </c>
      <c r="F94" s="22" t="s">
        <v>123</v>
      </c>
      <c r="G94" s="353">
        <f>'Dati in input'!I47</f>
        <v>33704.100000000006</v>
      </c>
    </row>
    <row r="95" spans="3:13" ht="14.5" x14ac:dyDescent="0.35">
      <c r="C95" s="75" t="s">
        <v>198</v>
      </c>
      <c r="D95" s="166">
        <f>IF(G43="si",D75*'Prezzi servizi "smart"'!C4,0)</f>
        <v>1000</v>
      </c>
      <c r="F95" s="21" t="s">
        <v>124</v>
      </c>
      <c r="G95" s="354">
        <f>'Dati in input'!I30</f>
        <v>131400</v>
      </c>
    </row>
    <row r="96" spans="3:13" ht="14.5" x14ac:dyDescent="0.35">
      <c r="C96" s="91" t="s">
        <v>253</v>
      </c>
      <c r="D96" s="101">
        <f>SUM(H44:H47)</f>
        <v>0</v>
      </c>
      <c r="F96" s="80" t="s">
        <v>244</v>
      </c>
      <c r="G96" s="242">
        <f>G95*G93-G94*G93</f>
        <v>19539.18</v>
      </c>
    </row>
    <row r="97" spans="3:8" ht="14.5" x14ac:dyDescent="0.35">
      <c r="C97" s="75" t="s">
        <v>190</v>
      </c>
      <c r="D97" s="78">
        <f>H48+H49</f>
        <v>0</v>
      </c>
      <c r="F97" s="22" t="s">
        <v>17</v>
      </c>
      <c r="G97" s="79">
        <f>G96/(G95*G93)</f>
        <v>0.74350000000000005</v>
      </c>
    </row>
    <row r="98" spans="3:8" ht="14.5" x14ac:dyDescent="0.35">
      <c r="C98" s="75" t="s">
        <v>191</v>
      </c>
      <c r="D98" s="78">
        <f>H50</f>
        <v>0</v>
      </c>
    </row>
    <row r="99" spans="3:8" ht="14.5" x14ac:dyDescent="0.35">
      <c r="C99" s="75" t="s">
        <v>192</v>
      </c>
      <c r="D99" s="78">
        <f>SUM(H51:H53)</f>
        <v>0</v>
      </c>
      <c r="F99" s="417" t="s">
        <v>241</v>
      </c>
      <c r="G99" s="418"/>
      <c r="H99" s="92"/>
    </row>
    <row r="100" spans="3:8" ht="14.5" x14ac:dyDescent="0.35">
      <c r="C100" s="75" t="s">
        <v>193</v>
      </c>
      <c r="D100" s="78">
        <f>H55</f>
        <v>0</v>
      </c>
      <c r="F100" s="73" t="s">
        <v>242</v>
      </c>
      <c r="G100" s="242">
        <v>5.1346022727272684</v>
      </c>
      <c r="H100" s="92"/>
    </row>
    <row r="101" spans="3:8" ht="14.5" x14ac:dyDescent="0.35">
      <c r="C101" s="75" t="s">
        <v>194</v>
      </c>
      <c r="D101" s="78">
        <f>H56</f>
        <v>0</v>
      </c>
      <c r="F101" s="80" t="s">
        <v>243</v>
      </c>
      <c r="G101" s="351">
        <f>(G95-G94)</f>
        <v>97695.9</v>
      </c>
      <c r="H101" s="139"/>
    </row>
    <row r="102" spans="3:8" ht="14.5" x14ac:dyDescent="0.35">
      <c r="C102" s="75" t="s">
        <v>255</v>
      </c>
      <c r="D102" s="78">
        <f>H65</f>
        <v>0</v>
      </c>
      <c r="F102" s="80" t="s">
        <v>245</v>
      </c>
      <c r="G102" s="148">
        <v>0.38500000000000001</v>
      </c>
      <c r="H102" s="140"/>
    </row>
    <row r="103" spans="3:8" ht="14.5" x14ac:dyDescent="0.35">
      <c r="C103" s="75" t="s">
        <v>273</v>
      </c>
      <c r="D103" s="78">
        <f>H60+H54</f>
        <v>0</v>
      </c>
      <c r="F103" s="22" t="s">
        <v>246</v>
      </c>
      <c r="G103" s="246">
        <f>G101*G102*G100/1000</f>
        <v>193.12739221781234</v>
      </c>
      <c r="H103" s="17"/>
    </row>
    <row r="104" spans="3:8" ht="14.5" x14ac:dyDescent="0.35">
      <c r="C104" s="75" t="s">
        <v>195</v>
      </c>
      <c r="D104" s="78">
        <f>H61</f>
        <v>0</v>
      </c>
      <c r="H104" s="141"/>
    </row>
    <row r="105" spans="3:8" ht="14.5" x14ac:dyDescent="0.35">
      <c r="C105" s="75" t="s">
        <v>196</v>
      </c>
      <c r="D105" s="78">
        <f>H66</f>
        <v>0</v>
      </c>
      <c r="H105" s="141"/>
    </row>
    <row r="106" spans="3:8" ht="14.5" x14ac:dyDescent="0.35">
      <c r="C106" s="75" t="s">
        <v>202</v>
      </c>
      <c r="D106" s="78">
        <f>IF(G43="si",D71*'Prezzi servizi "smart"'!D4,0)</f>
        <v>1080</v>
      </c>
      <c r="F106" s="419" t="s">
        <v>119</v>
      </c>
      <c r="G106" s="420"/>
      <c r="H106" s="142"/>
    </row>
    <row r="107" spans="3:8" ht="14.5" x14ac:dyDescent="0.35">
      <c r="C107" s="356" t="s">
        <v>271</v>
      </c>
      <c r="D107" s="370">
        <f>'Prezzi smart adaptive lighting'!F33</f>
        <v>12000</v>
      </c>
      <c r="E107" t="s">
        <v>293</v>
      </c>
      <c r="F107" s="130" t="s">
        <v>203</v>
      </c>
      <c r="G107" s="98">
        <f>D72*'Prezzi smart adaptive lighting'!F11</f>
        <v>100</v>
      </c>
      <c r="H107" s="141"/>
    </row>
    <row r="108" spans="3:8" x14ac:dyDescent="0.5">
      <c r="C108" s="91" t="s">
        <v>272</v>
      </c>
      <c r="D108" s="99">
        <f>(G45)*(IF('Foglio di calcolo'!I45='Prezzi smart adaptive lighting'!B16,'Prezzi smart adaptive lighting'!C16,IF('Foglio di calcolo'!I45='Prezzi smart adaptive lighting'!B17,'Prezzi smart adaptive lighting'!C17,IF('Foglio di calcolo'!I45='Prezzi smart adaptive lighting'!B18,'Prezzi smart adaptive lighting'!C18,IF('Foglio di calcolo'!I45='Prezzi smart adaptive lighting'!B19,'Prezzi smart adaptive lighting'!C19,'Prezzi smart adaptive lighting'!C20)))))+('Foglio di calcolo'!G46)*(IF('Foglio di calcolo'!I46='Prezzi smart adaptive lighting'!B16,'Prezzi smart adaptive lighting'!C16,IF('Foglio di calcolo'!I46='Prezzi smart adaptive lighting'!B17,'Prezzi smart adaptive lighting'!C17,IF('Foglio di calcolo'!I46='Prezzi smart adaptive lighting'!B18,'Prezzi smart adaptive lighting'!C18,IF('Foglio di calcolo'!I46='Prezzi smart adaptive lighting'!B19,'Prezzi smart adaptive lighting'!C19,'Prezzi smart adaptive lighting'!C20)))))+('Foglio di calcolo'!G46)*(IF('Foglio di calcolo'!J46='Prezzi smart adaptive lighting'!B16,'Prezzi smart adaptive lighting'!C16,IF('Foglio di calcolo'!J46='Prezzi smart adaptive lighting'!B17,'Prezzi smart adaptive lighting'!C17,IF('Foglio di calcolo'!J46='Prezzi smart adaptive lighting'!B18,'Prezzi smart adaptive lighting'!C18,IF('Foglio di calcolo'!J46='Prezzi smart adaptive lighting'!B19,'Prezzi smart adaptive lighting'!C19,'Prezzi smart adaptive lighting'!C20)))))+('Foglio di calcolo'!G47)*(IF('Foglio di calcolo'!I47='Prezzi smart adaptive lighting'!B16,'Prezzi smart adaptive lighting'!C16,IF('Foglio di calcolo'!I47='Prezzi smart adaptive lighting'!B17,'Prezzi smart adaptive lighting'!C17,IF('Foglio di calcolo'!I47='Prezzi smart adaptive lighting'!B18,'Prezzi smart adaptive lighting'!C18,IF('Foglio di calcolo'!I47='Prezzi smart adaptive lighting'!B19,'Prezzi smart adaptive lighting'!C19,'Prezzi smart adaptive lighting'!C20)))))+('Foglio di calcolo'!G47)*(IF('Foglio di calcolo'!J47='Prezzi smart adaptive lighting'!B16,'Prezzi smart adaptive lighting'!C16,IF('Foglio di calcolo'!J47='Prezzi smart adaptive lighting'!B17,'Prezzi smart adaptive lighting'!C17,IF('Foglio di calcolo'!J47='Prezzi smart adaptive lighting'!B18,'Prezzi smart adaptive lighting'!C18,IF('Foglio di calcolo'!J47='Prezzi smart adaptive lighting'!B19,'Prezzi smart adaptive lighting'!C19,'Prezzi smart adaptive lighting'!C20)))))+('Foglio di calcolo'!G47)*(IF('Foglio di calcolo'!K47='Prezzi smart adaptive lighting'!B16,'Prezzi smart adaptive lighting'!C16,IF('Foglio di calcolo'!K47='Prezzi smart adaptive lighting'!B17,'Prezzi smart adaptive lighting'!C17,IF('Foglio di calcolo'!K47='Prezzi smart adaptive lighting'!B18,'Prezzi smart adaptive lighting'!C18,IF('Foglio di calcolo'!K47='Prezzi smart adaptive lighting'!B19,'Prezzi smart adaptive lighting'!C19,'Prezzi smart adaptive lighting'!C20)))))</f>
        <v>0</v>
      </c>
      <c r="E108" t="s">
        <v>293</v>
      </c>
      <c r="F108" s="91" t="s">
        <v>204</v>
      </c>
      <c r="G108" s="233">
        <f>IF(OR(G60&gt;0,G61&gt;0,G66&gt;0),50000,0)</f>
        <v>0</v>
      </c>
      <c r="H108" s="141" t="s">
        <v>212</v>
      </c>
    </row>
    <row r="109" spans="3:8" ht="14.5" x14ac:dyDescent="0.35">
      <c r="C109" s="91" t="s">
        <v>231</v>
      </c>
      <c r="D109" s="288">
        <f>IF(G109="si",10000,0)</f>
        <v>0</v>
      </c>
      <c r="E109" t="s">
        <v>232</v>
      </c>
      <c r="F109" s="16" t="s">
        <v>233</v>
      </c>
      <c r="G109" s="231" t="s">
        <v>115</v>
      </c>
      <c r="H109" s="141"/>
    </row>
    <row r="110" spans="3:8" ht="14.5" x14ac:dyDescent="0.35">
      <c r="C110" s="3" t="s">
        <v>294</v>
      </c>
      <c r="D110" s="298"/>
      <c r="F110" s="21" t="s">
        <v>234</v>
      </c>
      <c r="G110" s="232">
        <v>0</v>
      </c>
      <c r="H110" s="141"/>
    </row>
    <row r="111" spans="3:8" ht="14.5" x14ac:dyDescent="0.35">
      <c r="C111" s="118" t="s">
        <v>108</v>
      </c>
      <c r="D111" s="119">
        <f>SUM(D88:D110)</f>
        <v>92480</v>
      </c>
      <c r="F111" s="21" t="s">
        <v>153</v>
      </c>
      <c r="G111" s="234">
        <f>IF(E37="si",E39,'Prezzi smart adaptive lighting'!C15*D71)*IF((F27&gt;0),(1.1),1)*IF(F32&gt;0,(1.2),1)+IF(E37="si",E39,'Prezzi smart adaptive lighting'!C15*D71)*IF(COUNTBLANK(G44)+COUNTBLANK(G48)+COUNTBLANK(G50:G53)+COUNTBLANK(G55:G56)+COUNTBLANK(G60:G61)+COUNTBLANK(G65:G66)=11,(1.1),0)+IF(E37="si",E39,'Prezzi smart adaptive lighting'!C15*D71)*IF(COUNTBLANK(G44)+COUNTBLANK(G48)+COUNTBLANK(G50:G53)+COUNTBLANK(G55:G56)+COUNTBLANK(G60:G61)+COUNTBLANK(G65:G66)=10,(1.2),0)+IF(E37="si",E39,'Prezzi smart adaptive lighting'!C15*D71)*IF(COUNTBLANK(G44)+COUNTBLANK(G48)+COUNTBLANK(G50:G53)+COUNTBLANK(G55:G56)+COUNTBLANK(G60:G61)+COUNTBLANK(G65:G66)&lt;=9,(1.3),0)+IF(D75&gt;0,500,0)+IF(G109="si",G110,0)</f>
        <v>1364</v>
      </c>
      <c r="H111" s="141"/>
    </row>
    <row r="112" spans="3:8" ht="14.5" x14ac:dyDescent="0.35">
      <c r="E112" s="12"/>
      <c r="H112" s="141"/>
    </row>
    <row r="113" spans="3:24" ht="14.5" x14ac:dyDescent="0.35">
      <c r="C113" s="391" t="s">
        <v>0</v>
      </c>
      <c r="D113" s="392"/>
    </row>
    <row r="114" spans="3:24" ht="14.5" x14ac:dyDescent="0.35">
      <c r="C114" s="20" t="s">
        <v>1</v>
      </c>
      <c r="D114" s="81">
        <v>0</v>
      </c>
    </row>
    <row r="115" spans="3:24" ht="14.5" x14ac:dyDescent="0.35">
      <c r="C115" s="1" t="s">
        <v>148</v>
      </c>
      <c r="D115" s="114">
        <v>0</v>
      </c>
      <c r="E115" s="71" t="str">
        <f>IF((D115+D117)&lt;1,"ATTENZIONE! Controllare valore","ok")</f>
        <v>ok</v>
      </c>
    </row>
    <row r="116" spans="3:24" ht="14.5" x14ac:dyDescent="0.35">
      <c r="C116" s="1" t="s">
        <v>149</v>
      </c>
      <c r="D116" s="132">
        <v>0</v>
      </c>
    </row>
    <row r="117" spans="3:24" ht="14.5" x14ac:dyDescent="0.35">
      <c r="C117" s="91" t="s">
        <v>150</v>
      </c>
      <c r="D117" s="115">
        <v>1</v>
      </c>
      <c r="E117" s="71" t="str">
        <f>IF((D115+D117)&lt;1,"ATTENZIONE! Controllare valore","ok")</f>
        <v>ok</v>
      </c>
    </row>
    <row r="118" spans="3:24" ht="14.5" x14ac:dyDescent="0.35">
      <c r="C118" s="1" t="s">
        <v>15</v>
      </c>
      <c r="D118" s="114">
        <v>7.0000000000000007E-2</v>
      </c>
    </row>
    <row r="119" spans="3:24" ht="14.5" x14ac:dyDescent="0.35">
      <c r="C119" s="1" t="s">
        <v>147</v>
      </c>
      <c r="D119" s="133">
        <v>0</v>
      </c>
      <c r="E119" s="99"/>
    </row>
    <row r="120" spans="3:24" ht="14.5" x14ac:dyDescent="0.35">
      <c r="C120" s="91" t="s">
        <v>151</v>
      </c>
      <c r="D120" s="115">
        <v>0.03</v>
      </c>
      <c r="E120" s="100"/>
    </row>
    <row r="121" spans="3:24" ht="14.5" x14ac:dyDescent="0.35">
      <c r="C121" s="22" t="s">
        <v>23</v>
      </c>
      <c r="D121" s="79">
        <f>D115*D118+D116*D119+D117*D120</f>
        <v>0.03</v>
      </c>
    </row>
    <row r="122" spans="3:24" ht="14.5" x14ac:dyDescent="0.35">
      <c r="C122" s="124"/>
      <c r="D122" s="245"/>
    </row>
    <row r="123" spans="3:24" ht="15" thickBot="1" x14ac:dyDescent="0.4"/>
    <row r="124" spans="3:24" ht="15" thickBot="1" x14ac:dyDescent="0.4">
      <c r="C124" s="415" t="s">
        <v>239</v>
      </c>
      <c r="D124" s="416"/>
      <c r="E124" s="220" t="s">
        <v>115</v>
      </c>
    </row>
    <row r="125" spans="3:24" ht="14.5" x14ac:dyDescent="0.35">
      <c r="T125" s="18"/>
      <c r="U125" s="129"/>
      <c r="V125" s="18"/>
      <c r="W125" s="18"/>
      <c r="X125" s="18"/>
    </row>
    <row r="126" spans="3:24" ht="14.5" x14ac:dyDescent="0.35">
      <c r="C126" s="5" t="s">
        <v>2</v>
      </c>
      <c r="D126" s="6">
        <v>0</v>
      </c>
      <c r="E126" s="6">
        <v>1</v>
      </c>
      <c r="F126" s="6">
        <v>2</v>
      </c>
      <c r="G126" s="6">
        <v>3</v>
      </c>
      <c r="H126" s="6">
        <v>4</v>
      </c>
      <c r="I126" s="6">
        <v>5</v>
      </c>
      <c r="J126" s="6">
        <v>6</v>
      </c>
      <c r="K126" s="6">
        <v>7</v>
      </c>
      <c r="L126" s="6">
        <v>8</v>
      </c>
      <c r="M126" s="6">
        <v>9</v>
      </c>
      <c r="N126" s="6">
        <v>10</v>
      </c>
      <c r="O126" s="6">
        <v>11</v>
      </c>
      <c r="P126" s="6">
        <v>12</v>
      </c>
      <c r="Q126" s="6">
        <v>13</v>
      </c>
      <c r="R126" s="6">
        <v>14</v>
      </c>
      <c r="S126" s="6">
        <v>15</v>
      </c>
      <c r="T126" s="129"/>
      <c r="U126" s="129"/>
      <c r="V126" s="129"/>
      <c r="W126" s="129"/>
      <c r="X126" s="129"/>
    </row>
    <row r="127" spans="3:24" ht="14.5" x14ac:dyDescent="0.35">
      <c r="C127" s="7" t="s">
        <v>3</v>
      </c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18"/>
      <c r="U127" s="18"/>
      <c r="V127" s="18"/>
      <c r="W127" s="18"/>
      <c r="X127" s="18"/>
    </row>
    <row r="128" spans="3:24" ht="14.5" x14ac:dyDescent="0.35">
      <c r="C128" s="9" t="s">
        <v>128</v>
      </c>
      <c r="D128" s="149">
        <f>-D111</f>
        <v>-92480</v>
      </c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8"/>
      <c r="U128" s="18"/>
      <c r="V128" s="18"/>
      <c r="W128" s="18"/>
      <c r="X128" s="18"/>
    </row>
    <row r="129" spans="3:25" ht="14.5" x14ac:dyDescent="0.35">
      <c r="C129" s="7" t="s">
        <v>4</v>
      </c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18"/>
      <c r="U129" s="18"/>
      <c r="V129" s="18"/>
      <c r="W129" s="18"/>
      <c r="X129" s="18"/>
    </row>
    <row r="130" spans="3:25" s="99" customFormat="1" ht="14.5" x14ac:dyDescent="0.35">
      <c r="C130" s="102" t="s">
        <v>22</v>
      </c>
      <c r="D130" s="103"/>
      <c r="E130" s="103">
        <f>($G$95-$G$94)*$G$93</f>
        <v>19539.18</v>
      </c>
      <c r="F130" s="103">
        <f t="shared" ref="F130:S130" si="2">($G$95-$G$94)*$G$93</f>
        <v>19539.18</v>
      </c>
      <c r="G130" s="103">
        <f t="shared" si="2"/>
        <v>19539.18</v>
      </c>
      <c r="H130" s="103">
        <f t="shared" si="2"/>
        <v>19539.18</v>
      </c>
      <c r="I130" s="103">
        <f t="shared" si="2"/>
        <v>19539.18</v>
      </c>
      <c r="J130" s="103">
        <f t="shared" si="2"/>
        <v>19539.18</v>
      </c>
      <c r="K130" s="103">
        <f t="shared" si="2"/>
        <v>19539.18</v>
      </c>
      <c r="L130" s="103">
        <f t="shared" si="2"/>
        <v>19539.18</v>
      </c>
      <c r="M130" s="103">
        <f t="shared" si="2"/>
        <v>19539.18</v>
      </c>
      <c r="N130" s="103">
        <f t="shared" si="2"/>
        <v>19539.18</v>
      </c>
      <c r="O130" s="103">
        <f t="shared" si="2"/>
        <v>19539.18</v>
      </c>
      <c r="P130" s="103">
        <f t="shared" si="2"/>
        <v>19539.18</v>
      </c>
      <c r="Q130" s="103">
        <f t="shared" si="2"/>
        <v>19539.18</v>
      </c>
      <c r="R130" s="103">
        <f t="shared" si="2"/>
        <v>19539.18</v>
      </c>
      <c r="S130" s="98">
        <f t="shared" si="2"/>
        <v>19539.18</v>
      </c>
      <c r="T130" s="134"/>
      <c r="U130" s="134"/>
      <c r="V130" s="134"/>
      <c r="W130" s="134"/>
      <c r="X130" s="134"/>
    </row>
    <row r="131" spans="3:25" s="99" customFormat="1" ht="14.5" x14ac:dyDescent="0.35">
      <c r="C131" s="104" t="s">
        <v>121</v>
      </c>
      <c r="D131" s="105"/>
      <c r="E131" s="105">
        <f>IF($G$84="si",0,($G$86-$G$85))-IF($G$60&gt;0,0.1*($H$60+$G$60*'Prezzi servizi "smart"'!$I$12),0)-IF('Foglio di calcolo'!$G$61&gt;0,0.1*('Foglio di calcolo'!$D$104+'Foglio di calcolo'!$G$61*'Prezzi servizi "smart"'!$I$17),0)</f>
        <v>135</v>
      </c>
      <c r="F131" s="105">
        <f>IF($G$84="si",0,($G$86-$G$85))-IF($G$60&gt;0,0.1*($H$60+$G$60*'Prezzi servizi "smart"'!$I$12),0)-IF('Foglio di calcolo'!$G$61&gt;0,0.1*('Foglio di calcolo'!$D$104+'Foglio di calcolo'!$G$61*'Prezzi servizi "smart"'!$I$17),0)</f>
        <v>135</v>
      </c>
      <c r="G131" s="105">
        <f>IF($G$84="si",0,($G$86-$G$85))-IF($G$60&gt;0,0.1*($H$60+$G$60*'Prezzi servizi "smart"'!$I$12),0)-IF('Foglio di calcolo'!$G$61&gt;0,0.1*('Foglio di calcolo'!$D$104+'Foglio di calcolo'!$G$61*'Prezzi servizi "smart"'!$I$17),0)</f>
        <v>135</v>
      </c>
      <c r="H131" s="105">
        <f>IF($G$84="si",0,($G$86-$G$85))-IF($G$60&gt;0,0.1*($H$60+$G$60*'Prezzi servizi "smart"'!$I$12),0)-IF('Foglio di calcolo'!$G$61&gt;0,0.1*('Foglio di calcolo'!$D$104+'Foglio di calcolo'!$G$61*'Prezzi servizi "smart"'!$I$17),0)</f>
        <v>135</v>
      </c>
      <c r="I131" s="105">
        <f>IF($G$84="si",0,($G$86-$G$85))-IF($G$60&gt;0,0.1*($H$60+$G$60*'Prezzi servizi "smart"'!$I$12),0)-IF('Foglio di calcolo'!$G$61&gt;0,0.1*('Foglio di calcolo'!$D$104+'Foglio di calcolo'!$G$61*'Prezzi servizi "smart"'!$I$17),0)</f>
        <v>135</v>
      </c>
      <c r="J131" s="105">
        <f>IF($G$84="si",0,($G$86-$G$85))-IF($G$60&gt;0,0.1*($H$60+$G$60*'Prezzi servizi "smart"'!$I$12),0)-IF('Foglio di calcolo'!$G$61&gt;0,0.1*('Foglio di calcolo'!$D$104+'Foglio di calcolo'!$G$61*'Prezzi servizi "smart"'!$I$17),0)</f>
        <v>135</v>
      </c>
      <c r="K131" s="105">
        <f>IF($G$84="si",0,($G$86-$G$85))-IF($G$60&gt;0,0.1*($H$60+$G$60*'Prezzi servizi "smart"'!$I$12),0)-IF('Foglio di calcolo'!$G$61&gt;0,0.1*('Foglio di calcolo'!$D$104+'Foglio di calcolo'!$G$61*'Prezzi servizi "smart"'!$I$17),0)</f>
        <v>135</v>
      </c>
      <c r="L131" s="105">
        <f>IF($G$84="si",0,($G$86-$G$85))-IF($G$60&gt;0,0.1*($H$60+$G$60*'Prezzi servizi "smart"'!$I$12),0)-IF('Foglio di calcolo'!$G$61&gt;0,0.1*('Foglio di calcolo'!$D$104+'Foglio di calcolo'!$G$61*'Prezzi servizi "smart"'!$I$17),0)</f>
        <v>135</v>
      </c>
      <c r="M131" s="105">
        <f>IF($G$84="si",0,($G$86-$G$85))-IF($G$60&gt;0,0.1*($H$60+$G$60*'Prezzi servizi "smart"'!$I$12),0)-IF('Foglio di calcolo'!$G$61&gt;0,0.1*('Foglio di calcolo'!$D$104+'Foglio di calcolo'!$G$61*'Prezzi servizi "smart"'!$I$17),0)</f>
        <v>135</v>
      </c>
      <c r="N131" s="105">
        <f>IF($G$84="si",0,($G$86-$G$85))-IF($G$60&gt;0,0.1*($H$60+$G$60*'Prezzi servizi "smart"'!$I$12),0)-IF('Foglio di calcolo'!$G$61&gt;0,0.1*('Foglio di calcolo'!$D$104+'Foglio di calcolo'!$G$61*'Prezzi servizi "smart"'!$I$17),0)</f>
        <v>135</v>
      </c>
      <c r="O131" s="105">
        <f>IF($G$84="si",0,($G$86-$G$85))-IF($G$60&gt;0,0.1*($H$60+$G$60*'Prezzi servizi "smart"'!$I$12),0)-IF('Foglio di calcolo'!$G$61&gt;0,0.1*('Foglio di calcolo'!$D$104+'Foglio di calcolo'!$G$61*'Prezzi servizi "smart"'!$I$17),0)</f>
        <v>135</v>
      </c>
      <c r="P131" s="105">
        <f>IF($G$84="si",0,($G$86-$G$85))-IF($G$60&gt;0,0.1*($H$60+$G$60*'Prezzi servizi "smart"'!$I$12),0)-IF('Foglio di calcolo'!$G$61&gt;0,0.1*('Foglio di calcolo'!$D$104+'Foglio di calcolo'!$G$61*'Prezzi servizi "smart"'!$I$17),0)</f>
        <v>135</v>
      </c>
      <c r="Q131" s="105">
        <f>IF($G$84="si",0,($G$86-$G$85))-IF($G$60&gt;0,0.1*($H$60+$G$60*'Prezzi servizi "smart"'!$I$12),0)-IF('Foglio di calcolo'!$G$61&gt;0,0.1*('Foglio di calcolo'!$D$104+'Foglio di calcolo'!$G$61*'Prezzi servizi "smart"'!$I$17),0)</f>
        <v>135</v>
      </c>
      <c r="R131" s="105">
        <f>IF($G$84="si",0,($G$86-$G$85))-IF($G$60&gt;0,0.1*($H$60+$G$60*'Prezzi servizi "smart"'!$I$12),0)-IF('Foglio di calcolo'!$G$61&gt;0,0.1*('Foglio di calcolo'!$D$104+'Foglio di calcolo'!$G$61*'Prezzi servizi "smart"'!$I$17),0)</f>
        <v>135</v>
      </c>
      <c r="S131" s="105">
        <f>IF($G$84="si",0,($G$86-$G$85))-IF($G$60&gt;0,0.1*($H$60+$G$60*'Prezzi servizi "smart"'!$I$12),0)-IF('Foglio di calcolo'!$G$61&gt;0,0.1*('Foglio di calcolo'!$D$104+'Foglio di calcolo'!$G$61*'Prezzi servizi "smart"'!$I$17),0)</f>
        <v>135</v>
      </c>
      <c r="T131" s="134"/>
      <c r="U131" s="134"/>
      <c r="V131" s="134"/>
      <c r="W131" s="134"/>
      <c r="X131" s="134"/>
    </row>
    <row r="132" spans="3:25" s="99" customFormat="1" ht="14.5" x14ac:dyDescent="0.35">
      <c r="C132" s="104" t="s">
        <v>238</v>
      </c>
      <c r="D132" s="105"/>
      <c r="E132" s="105">
        <f>IF($E$124="si",$G$103,0)</f>
        <v>0</v>
      </c>
      <c r="F132" s="105">
        <f t="shared" ref="F132:S132" si="3">IF($E$124="si",$G$103,0)</f>
        <v>0</v>
      </c>
      <c r="G132" s="105">
        <f t="shared" si="3"/>
        <v>0</v>
      </c>
      <c r="H132" s="105">
        <f t="shared" si="3"/>
        <v>0</v>
      </c>
      <c r="I132" s="105">
        <f t="shared" si="3"/>
        <v>0</v>
      </c>
      <c r="J132" s="105">
        <f t="shared" si="3"/>
        <v>0</v>
      </c>
      <c r="K132" s="105">
        <f t="shared" si="3"/>
        <v>0</v>
      </c>
      <c r="L132" s="105">
        <f t="shared" si="3"/>
        <v>0</v>
      </c>
      <c r="M132" s="105">
        <f t="shared" si="3"/>
        <v>0</v>
      </c>
      <c r="N132" s="105">
        <f t="shared" si="3"/>
        <v>0</v>
      </c>
      <c r="O132" s="105">
        <f t="shared" si="3"/>
        <v>0</v>
      </c>
      <c r="P132" s="105">
        <f t="shared" si="3"/>
        <v>0</v>
      </c>
      <c r="Q132" s="105">
        <f t="shared" si="3"/>
        <v>0</v>
      </c>
      <c r="R132" s="105">
        <f t="shared" si="3"/>
        <v>0</v>
      </c>
      <c r="S132" s="105">
        <f t="shared" si="3"/>
        <v>0</v>
      </c>
      <c r="T132" s="135"/>
      <c r="U132" s="135"/>
      <c r="V132" s="135"/>
      <c r="W132" s="135"/>
      <c r="X132" s="135"/>
      <c r="Y132" s="105"/>
    </row>
    <row r="133" spans="3:25" ht="14.5" x14ac:dyDescent="0.35">
      <c r="C133" s="106" t="s">
        <v>5</v>
      </c>
      <c r="D133" s="107"/>
      <c r="E133" s="108">
        <f>SUM(E130:E132)</f>
        <v>19674.18</v>
      </c>
      <c r="F133" s="108">
        <f t="shared" ref="F133:S133" si="4">SUM(F130:F132)</f>
        <v>19674.18</v>
      </c>
      <c r="G133" s="108">
        <f>SUM(G130:G132)</f>
        <v>19674.18</v>
      </c>
      <c r="H133" s="108">
        <f t="shared" si="4"/>
        <v>19674.18</v>
      </c>
      <c r="I133" s="108">
        <f t="shared" si="4"/>
        <v>19674.18</v>
      </c>
      <c r="J133" s="108">
        <f t="shared" si="4"/>
        <v>19674.18</v>
      </c>
      <c r="K133" s="108">
        <f t="shared" si="4"/>
        <v>19674.18</v>
      </c>
      <c r="L133" s="108">
        <f t="shared" si="4"/>
        <v>19674.18</v>
      </c>
      <c r="M133" s="108">
        <f t="shared" si="4"/>
        <v>19674.18</v>
      </c>
      <c r="N133" s="108">
        <f t="shared" si="4"/>
        <v>19674.18</v>
      </c>
      <c r="O133" s="108">
        <f t="shared" si="4"/>
        <v>19674.18</v>
      </c>
      <c r="P133" s="108">
        <f t="shared" si="4"/>
        <v>19674.18</v>
      </c>
      <c r="Q133" s="108">
        <f t="shared" si="4"/>
        <v>19674.18</v>
      </c>
      <c r="R133" s="108">
        <f t="shared" si="4"/>
        <v>19674.18</v>
      </c>
      <c r="S133" s="108">
        <f t="shared" si="4"/>
        <v>19674.18</v>
      </c>
      <c r="T133" s="18"/>
      <c r="U133" s="18"/>
      <c r="V133" s="18"/>
      <c r="W133" s="18"/>
      <c r="X133" s="18"/>
      <c r="Y133" s="12"/>
    </row>
    <row r="134" spans="3:25" s="99" customFormat="1" ht="14.5" x14ac:dyDescent="0.35">
      <c r="C134" s="7" t="s">
        <v>6</v>
      </c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134"/>
      <c r="U134" s="134"/>
      <c r="V134" s="134"/>
      <c r="W134" s="134"/>
      <c r="X134" s="134"/>
      <c r="Y134" s="105"/>
    </row>
    <row r="135" spans="3:25" s="99" customFormat="1" ht="14.5" x14ac:dyDescent="0.35">
      <c r="C135" s="104" t="s">
        <v>120</v>
      </c>
      <c r="D135" s="105"/>
      <c r="E135" s="105">
        <f t="shared" ref="E135:S135" si="5">$G$107+$G$108</f>
        <v>100</v>
      </c>
      <c r="F135" s="105">
        <f t="shared" si="5"/>
        <v>100</v>
      </c>
      <c r="G135" s="105">
        <f t="shared" si="5"/>
        <v>100</v>
      </c>
      <c r="H135" s="105">
        <f t="shared" si="5"/>
        <v>100</v>
      </c>
      <c r="I135" s="105">
        <f t="shared" si="5"/>
        <v>100</v>
      </c>
      <c r="J135" s="105">
        <f t="shared" si="5"/>
        <v>100</v>
      </c>
      <c r="K135" s="105">
        <f t="shared" si="5"/>
        <v>100</v>
      </c>
      <c r="L135" s="105">
        <f t="shared" si="5"/>
        <v>100</v>
      </c>
      <c r="M135" s="105">
        <f t="shared" si="5"/>
        <v>100</v>
      </c>
      <c r="N135" s="105">
        <f t="shared" si="5"/>
        <v>100</v>
      </c>
      <c r="O135" s="105">
        <f t="shared" si="5"/>
        <v>100</v>
      </c>
      <c r="P135" s="105">
        <f t="shared" si="5"/>
        <v>100</v>
      </c>
      <c r="Q135" s="105">
        <f t="shared" si="5"/>
        <v>100</v>
      </c>
      <c r="R135" s="105">
        <f t="shared" si="5"/>
        <v>100</v>
      </c>
      <c r="S135" s="105">
        <f t="shared" si="5"/>
        <v>100</v>
      </c>
      <c r="T135" s="134"/>
      <c r="U135" s="134"/>
      <c r="V135" s="134"/>
      <c r="W135" s="134"/>
      <c r="X135" s="134"/>
      <c r="Y135" s="105"/>
    </row>
    <row r="136" spans="3:25" s="99" customFormat="1" ht="14.5" x14ac:dyDescent="0.35">
      <c r="C136" s="104" t="s">
        <v>122</v>
      </c>
      <c r="D136" s="105"/>
      <c r="E136" s="111">
        <f t="shared" ref="E136:S136" si="6">$G$111</f>
        <v>1364</v>
      </c>
      <c r="F136" s="111">
        <f t="shared" si="6"/>
        <v>1364</v>
      </c>
      <c r="G136" s="111">
        <f t="shared" si="6"/>
        <v>1364</v>
      </c>
      <c r="H136" s="111">
        <f t="shared" si="6"/>
        <v>1364</v>
      </c>
      <c r="I136" s="111">
        <f t="shared" si="6"/>
        <v>1364</v>
      </c>
      <c r="J136" s="111">
        <f t="shared" si="6"/>
        <v>1364</v>
      </c>
      <c r="K136" s="111">
        <f t="shared" si="6"/>
        <v>1364</v>
      </c>
      <c r="L136" s="111">
        <f t="shared" si="6"/>
        <v>1364</v>
      </c>
      <c r="M136" s="111">
        <f t="shared" si="6"/>
        <v>1364</v>
      </c>
      <c r="N136" s="111">
        <f t="shared" si="6"/>
        <v>1364</v>
      </c>
      <c r="O136" s="111">
        <f t="shared" si="6"/>
        <v>1364</v>
      </c>
      <c r="P136" s="111">
        <f t="shared" si="6"/>
        <v>1364</v>
      </c>
      <c r="Q136" s="111">
        <f t="shared" si="6"/>
        <v>1364</v>
      </c>
      <c r="R136" s="111">
        <f t="shared" si="6"/>
        <v>1364</v>
      </c>
      <c r="S136" s="111">
        <f t="shared" si="6"/>
        <v>1364</v>
      </c>
      <c r="T136" s="135"/>
      <c r="U136" s="135"/>
      <c r="V136" s="135"/>
      <c r="W136" s="135"/>
      <c r="X136" s="135"/>
      <c r="Y136" s="105"/>
    </row>
    <row r="137" spans="3:25" ht="14.5" x14ac:dyDescent="0.35">
      <c r="C137" s="106" t="s">
        <v>7</v>
      </c>
      <c r="D137" s="107"/>
      <c r="E137" s="108">
        <f t="shared" ref="E137:S137" si="7">SUM(E135:E136)</f>
        <v>1464</v>
      </c>
      <c r="F137" s="108">
        <f t="shared" si="7"/>
        <v>1464</v>
      </c>
      <c r="G137" s="108">
        <f t="shared" si="7"/>
        <v>1464</v>
      </c>
      <c r="H137" s="108">
        <f t="shared" si="7"/>
        <v>1464</v>
      </c>
      <c r="I137" s="108">
        <f t="shared" si="7"/>
        <v>1464</v>
      </c>
      <c r="J137" s="108">
        <f t="shared" si="7"/>
        <v>1464</v>
      </c>
      <c r="K137" s="108">
        <f t="shared" si="7"/>
        <v>1464</v>
      </c>
      <c r="L137" s="108">
        <f t="shared" si="7"/>
        <v>1464</v>
      </c>
      <c r="M137" s="108">
        <f t="shared" si="7"/>
        <v>1464</v>
      </c>
      <c r="N137" s="108">
        <f t="shared" si="7"/>
        <v>1464</v>
      </c>
      <c r="O137" s="108">
        <f t="shared" si="7"/>
        <v>1464</v>
      </c>
      <c r="P137" s="108">
        <f t="shared" si="7"/>
        <v>1464</v>
      </c>
      <c r="Q137" s="108">
        <f t="shared" si="7"/>
        <v>1464</v>
      </c>
      <c r="R137" s="108">
        <f t="shared" si="7"/>
        <v>1464</v>
      </c>
      <c r="S137" s="108">
        <f t="shared" si="7"/>
        <v>1464</v>
      </c>
      <c r="T137" s="18"/>
      <c r="U137" s="18"/>
      <c r="V137" s="18"/>
      <c r="W137" s="18"/>
      <c r="X137" s="18"/>
    </row>
    <row r="138" spans="3:25" s="99" customFormat="1" ht="14.5" x14ac:dyDescent="0.35">
      <c r="C138" s="7" t="s">
        <v>8</v>
      </c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134"/>
      <c r="U138" s="134"/>
      <c r="V138" s="134"/>
      <c r="W138" s="134"/>
      <c r="X138" s="134"/>
    </row>
    <row r="139" spans="3:25" s="99" customFormat="1" ht="14.5" x14ac:dyDescent="0.35">
      <c r="C139" s="102" t="s">
        <v>8</v>
      </c>
      <c r="D139" s="103">
        <f>D128</f>
        <v>-92480</v>
      </c>
      <c r="E139" s="103">
        <f>E133-E137</f>
        <v>18210.18</v>
      </c>
      <c r="F139" s="103">
        <f t="shared" ref="F139:S139" si="8">F133-F137</f>
        <v>18210.18</v>
      </c>
      <c r="G139" s="103">
        <f t="shared" si="8"/>
        <v>18210.18</v>
      </c>
      <c r="H139" s="103">
        <f t="shared" si="8"/>
        <v>18210.18</v>
      </c>
      <c r="I139" s="103">
        <f t="shared" si="8"/>
        <v>18210.18</v>
      </c>
      <c r="J139" s="103">
        <f t="shared" si="8"/>
        <v>18210.18</v>
      </c>
      <c r="K139" s="103">
        <f t="shared" si="8"/>
        <v>18210.18</v>
      </c>
      <c r="L139" s="103">
        <f t="shared" si="8"/>
        <v>18210.18</v>
      </c>
      <c r="M139" s="103">
        <f t="shared" si="8"/>
        <v>18210.18</v>
      </c>
      <c r="N139" s="103">
        <f t="shared" si="8"/>
        <v>18210.18</v>
      </c>
      <c r="O139" s="103">
        <f t="shared" si="8"/>
        <v>18210.18</v>
      </c>
      <c r="P139" s="103">
        <f t="shared" si="8"/>
        <v>18210.18</v>
      </c>
      <c r="Q139" s="103">
        <f t="shared" si="8"/>
        <v>18210.18</v>
      </c>
      <c r="R139" s="103">
        <f t="shared" si="8"/>
        <v>18210.18</v>
      </c>
      <c r="S139" s="103">
        <f t="shared" si="8"/>
        <v>18210.18</v>
      </c>
      <c r="T139" s="134"/>
      <c r="U139" s="134"/>
      <c r="V139" s="134"/>
      <c r="W139" s="134"/>
      <c r="X139" s="134"/>
    </row>
    <row r="140" spans="3:25" s="99" customFormat="1" ht="14.5" x14ac:dyDescent="0.35">
      <c r="C140" s="104" t="s">
        <v>9</v>
      </c>
      <c r="D140" s="105">
        <f t="shared" ref="D140:S140" si="9">D139/(1+$D$121)^D126</f>
        <v>-92480</v>
      </c>
      <c r="E140" s="105">
        <f t="shared" si="9"/>
        <v>17679.786407766991</v>
      </c>
      <c r="F140" s="105">
        <f t="shared" si="9"/>
        <v>17164.841172589313</v>
      </c>
      <c r="G140" s="105">
        <f t="shared" si="9"/>
        <v>16664.89434231972</v>
      </c>
      <c r="H140" s="105">
        <f t="shared" si="9"/>
        <v>16179.509070213322</v>
      </c>
      <c r="I140" s="105">
        <f t="shared" si="9"/>
        <v>15708.261233216817</v>
      </c>
      <c r="J140" s="105">
        <f t="shared" si="9"/>
        <v>15250.739061375551</v>
      </c>
      <c r="K140" s="105">
        <f t="shared" si="9"/>
        <v>14806.542778034514</v>
      </c>
      <c r="L140" s="105">
        <f t="shared" si="9"/>
        <v>14375.284250518947</v>
      </c>
      <c r="M140" s="105">
        <f t="shared" si="9"/>
        <v>13956.586650989269</v>
      </c>
      <c r="N140" s="105">
        <f t="shared" si="9"/>
        <v>13550.084127174046</v>
      </c>
      <c r="O140" s="105">
        <f t="shared" si="9"/>
        <v>13155.421482693249</v>
      </c>
      <c r="P140" s="105">
        <f t="shared" si="9"/>
        <v>12772.253866692477</v>
      </c>
      <c r="Q140" s="105">
        <f t="shared" si="9"/>
        <v>12400.246472516968</v>
      </c>
      <c r="R140" s="105">
        <f t="shared" si="9"/>
        <v>12039.074245162104</v>
      </c>
      <c r="S140" s="105">
        <f t="shared" si="9"/>
        <v>11688.42159724476</v>
      </c>
      <c r="T140" s="135"/>
      <c r="U140" s="135"/>
      <c r="V140" s="135"/>
      <c r="W140" s="135"/>
      <c r="X140" s="135"/>
    </row>
    <row r="141" spans="3:25" ht="14.5" x14ac:dyDescent="0.35">
      <c r="C141" s="112" t="s">
        <v>157</v>
      </c>
      <c r="D141" s="109">
        <f>D140</f>
        <v>-92480</v>
      </c>
      <c r="E141" s="109">
        <f>D141+E140</f>
        <v>-74800.213592233005</v>
      </c>
      <c r="F141" s="109">
        <f>E141+F140</f>
        <v>-57635.372419643696</v>
      </c>
      <c r="G141" s="109">
        <f t="shared" ref="G141:S141" si="10">F141+G140</f>
        <v>-40970.478077323976</v>
      </c>
      <c r="H141" s="109">
        <f t="shared" si="10"/>
        <v>-24790.969007110652</v>
      </c>
      <c r="I141" s="109">
        <f t="shared" si="10"/>
        <v>-9082.7077738938351</v>
      </c>
      <c r="J141" s="109">
        <f t="shared" si="10"/>
        <v>6168.0312874817155</v>
      </c>
      <c r="K141" s="109">
        <f t="shared" si="10"/>
        <v>20974.57406551623</v>
      </c>
      <c r="L141" s="109">
        <f t="shared" si="10"/>
        <v>35349.858316035177</v>
      </c>
      <c r="M141" s="109">
        <f t="shared" si="10"/>
        <v>49306.44496702445</v>
      </c>
      <c r="N141" s="109">
        <f t="shared" si="10"/>
        <v>62856.5290941985</v>
      </c>
      <c r="O141" s="109">
        <f t="shared" si="10"/>
        <v>76011.950576891744</v>
      </c>
      <c r="P141" s="109">
        <f t="shared" si="10"/>
        <v>88784.204443584225</v>
      </c>
      <c r="Q141" s="109">
        <f t="shared" si="10"/>
        <v>101184.4509161012</v>
      </c>
      <c r="R141" s="109">
        <f t="shared" si="10"/>
        <v>113223.5251612633</v>
      </c>
      <c r="S141" s="109">
        <f t="shared" si="10"/>
        <v>124911.94675850806</v>
      </c>
      <c r="T141" s="18"/>
      <c r="U141" s="18"/>
      <c r="V141" s="18"/>
      <c r="W141" s="18"/>
      <c r="X141" s="18"/>
    </row>
    <row r="142" spans="3:25" ht="14.5" x14ac:dyDescent="0.35">
      <c r="C142" s="14"/>
      <c r="D142" s="13"/>
    </row>
    <row r="143" spans="3:25" x14ac:dyDescent="0.5">
      <c r="C143" s="228" t="s">
        <v>10</v>
      </c>
      <c r="D143" s="229"/>
    </row>
    <row r="144" spans="3:25" ht="14.5" x14ac:dyDescent="0.35">
      <c r="C144" s="15" t="s">
        <v>11</v>
      </c>
      <c r="D144" s="77">
        <f>SUM(D140:S140)</f>
        <v>124911.94675850806</v>
      </c>
    </row>
    <row r="145" spans="3:4" ht="14.5" x14ac:dyDescent="0.35">
      <c r="C145" s="16" t="s">
        <v>12</v>
      </c>
      <c r="D145" s="2">
        <f>IRR(D139:S139)</f>
        <v>0.18058639171062452</v>
      </c>
    </row>
    <row r="146" spans="3:4" ht="14.5" x14ac:dyDescent="0.35">
      <c r="C146" s="11" t="s">
        <v>13</v>
      </c>
      <c r="D146" s="4">
        <f>IF(COUNTIF(D141:S141,"&lt;0")&lt;16,COUNTIF(D141:S141,"&lt;0"),"&gt;vu")</f>
        <v>6</v>
      </c>
    </row>
    <row r="167" spans="3:19" ht="14.5" x14ac:dyDescent="0.35">
      <c r="C167" s="5" t="s">
        <v>2</v>
      </c>
      <c r="D167" s="6">
        <v>0</v>
      </c>
      <c r="E167" s="6">
        <v>1</v>
      </c>
      <c r="F167" s="6">
        <v>2</v>
      </c>
      <c r="G167" s="6">
        <v>3</v>
      </c>
      <c r="H167" s="6">
        <v>4</v>
      </c>
      <c r="I167" s="6">
        <v>5</v>
      </c>
      <c r="J167" s="6">
        <v>6</v>
      </c>
      <c r="K167" s="6">
        <v>7</v>
      </c>
      <c r="L167" s="6">
        <v>8</v>
      </c>
      <c r="M167" s="6">
        <v>9</v>
      </c>
      <c r="N167" s="6">
        <v>10</v>
      </c>
      <c r="O167" s="6">
        <v>11</v>
      </c>
      <c r="P167" s="6">
        <v>12</v>
      </c>
      <c r="Q167" s="6">
        <v>13</v>
      </c>
      <c r="R167" s="6">
        <v>14</v>
      </c>
      <c r="S167" s="6">
        <v>15</v>
      </c>
    </row>
    <row r="168" spans="3:19" ht="14.5" x14ac:dyDescent="0.35">
      <c r="C168" s="102" t="s">
        <v>22</v>
      </c>
      <c r="E168" s="252">
        <f>(E130)/(1+$D$121)^E126</f>
        <v>18970.077669902912</v>
      </c>
      <c r="F168" s="252">
        <f t="shared" ref="F168:S168" si="11">(F130)/(1+$D$121)^F126</f>
        <v>18417.551135828071</v>
      </c>
      <c r="G168" s="252">
        <f t="shared" si="11"/>
        <v>17881.11760760007</v>
      </c>
      <c r="H168" s="252">
        <f t="shared" si="11"/>
        <v>17360.308356893271</v>
      </c>
      <c r="I168" s="252">
        <f t="shared" si="11"/>
        <v>16854.668307663371</v>
      </c>
      <c r="J168" s="252">
        <f t="shared" si="11"/>
        <v>16363.755638508126</v>
      </c>
      <c r="K168" s="252">
        <f t="shared" si="11"/>
        <v>15887.141396609832</v>
      </c>
      <c r="L168" s="252">
        <f t="shared" si="11"/>
        <v>15424.409122922169</v>
      </c>
      <c r="M168" s="252">
        <f t="shared" si="11"/>
        <v>14975.154488273949</v>
      </c>
      <c r="N168" s="252">
        <f t="shared" si="11"/>
        <v>14538.984940071796</v>
      </c>
      <c r="O168" s="252">
        <f t="shared" si="11"/>
        <v>14115.519359293005</v>
      </c>
      <c r="P168" s="252">
        <f t="shared" si="11"/>
        <v>13704.387727468938</v>
      </c>
      <c r="Q168" s="252">
        <f t="shared" si="11"/>
        <v>13305.230803367902</v>
      </c>
      <c r="R168" s="252">
        <f t="shared" si="11"/>
        <v>12917.699809095049</v>
      </c>
      <c r="S168" s="252">
        <f t="shared" si="11"/>
        <v>12541.456125334998</v>
      </c>
    </row>
    <row r="169" spans="3:19" ht="14.5" x14ac:dyDescent="0.35">
      <c r="C169" s="104" t="s">
        <v>121</v>
      </c>
      <c r="E169" s="252">
        <f>(E131)/(1+$D$121)^E126</f>
        <v>131.06796116504853</v>
      </c>
      <c r="F169" s="252">
        <f t="shared" ref="F169:S169" si="12">(F131)/(1+$D$121)^F126</f>
        <v>127.25044773305684</v>
      </c>
      <c r="G169" s="252">
        <f t="shared" si="12"/>
        <v>123.54412401267655</v>
      </c>
      <c r="H169" s="252">
        <f t="shared" si="12"/>
        <v>119.94575146861801</v>
      </c>
      <c r="I169" s="252">
        <f t="shared" si="12"/>
        <v>116.45218589186216</v>
      </c>
      <c r="J169" s="252">
        <f t="shared" si="12"/>
        <v>113.06037465229335</v>
      </c>
      <c r="K169" s="252">
        <f t="shared" si="12"/>
        <v>109.76735403135275</v>
      </c>
      <c r="L169" s="252">
        <f t="shared" si="12"/>
        <v>106.57024663238133</v>
      </c>
      <c r="M169" s="252">
        <f t="shared" si="12"/>
        <v>103.46625886638964</v>
      </c>
      <c r="N169" s="252">
        <f t="shared" si="12"/>
        <v>100.4526785110579</v>
      </c>
      <c r="O169" s="252">
        <f t="shared" si="12"/>
        <v>97.526872340832909</v>
      </c>
      <c r="P169" s="252">
        <f t="shared" si="12"/>
        <v>94.68628382605138</v>
      </c>
      <c r="Q169" s="252">
        <f t="shared" si="12"/>
        <v>91.928430899079018</v>
      </c>
      <c r="R169" s="252">
        <f t="shared" si="12"/>
        <v>89.2509037855136</v>
      </c>
      <c r="S169" s="252">
        <f t="shared" si="12"/>
        <v>86.651362898556883</v>
      </c>
    </row>
    <row r="170" spans="3:19" ht="14.5" x14ac:dyDescent="0.35">
      <c r="C170" s="104" t="s">
        <v>238</v>
      </c>
      <c r="E170" s="252">
        <f>($G$103)/(1+$D$121)^E126</f>
        <v>187.50232254156538</v>
      </c>
      <c r="F170" s="252">
        <f>($G$103)/(1+$D$121)^F126</f>
        <v>182.04108984618</v>
      </c>
      <c r="G170" s="252">
        <f t="shared" ref="G170:S170" si="13">($G$103)/(1+$D$121)^G126</f>
        <v>176.73892218075727</v>
      </c>
      <c r="H170" s="252">
        <f t="shared" si="13"/>
        <v>171.59118658325949</v>
      </c>
      <c r="I170" s="252">
        <f t="shared" si="13"/>
        <v>166.59338503229077</v>
      </c>
      <c r="J170" s="252">
        <f t="shared" si="13"/>
        <v>161.74115051678714</v>
      </c>
      <c r="K170" s="252">
        <f t="shared" si="13"/>
        <v>157.03024322018169</v>
      </c>
      <c r="L170" s="252">
        <f t="shared" si="13"/>
        <v>152.4565468157104</v>
      </c>
      <c r="M170" s="252">
        <f t="shared" si="13"/>
        <v>148.01606486962174</v>
      </c>
      <c r="N170" s="252">
        <f t="shared" si="13"/>
        <v>143.70491734914734</v>
      </c>
      <c r="O170" s="252">
        <f t="shared" si="13"/>
        <v>139.51933723218187</v>
      </c>
      <c r="P170" s="252">
        <f t="shared" si="13"/>
        <v>135.45566721571058</v>
      </c>
      <c r="Q170" s="252">
        <f t="shared" si="13"/>
        <v>131.51035652010736</v>
      </c>
      <c r="R170" s="252">
        <f t="shared" si="13"/>
        <v>127.67995778651198</v>
      </c>
      <c r="S170" s="252">
        <f t="shared" si="13"/>
        <v>123.96112406457473</v>
      </c>
    </row>
    <row r="172" spans="3:19" ht="14.5" x14ac:dyDescent="0.35">
      <c r="C172" s="253"/>
    </row>
    <row r="173" spans="3:19" ht="15" thickBot="1" x14ac:dyDescent="0.4">
      <c r="C173" s="253"/>
    </row>
    <row r="174" spans="3:19" ht="14.5" x14ac:dyDescent="0.35">
      <c r="C174" s="248" t="s">
        <v>247</v>
      </c>
      <c r="D174" s="250">
        <f>SUM(E168:S168)</f>
        <v>233257.46248883349</v>
      </c>
    </row>
    <row r="175" spans="3:19" ht="14.5" x14ac:dyDescent="0.35">
      <c r="C175" s="249" t="s">
        <v>258</v>
      </c>
      <c r="D175" s="251">
        <f>SUM(E169:S169)</f>
        <v>1611.6212367147709</v>
      </c>
    </row>
    <row r="176" spans="3:19" ht="15" thickBot="1" x14ac:dyDescent="0.4">
      <c r="C176" s="247" t="s">
        <v>248</v>
      </c>
      <c r="D176" s="196">
        <f>SUM(E170:S170)</f>
        <v>2305.5422717745878</v>
      </c>
    </row>
    <row r="178" spans="3:4" ht="14.7" thickBot="1" x14ac:dyDescent="0.55000000000000004"/>
    <row r="179" spans="3:4" ht="16" thickBot="1" x14ac:dyDescent="0.6">
      <c r="C179" s="321" t="s">
        <v>309</v>
      </c>
      <c r="D179" s="138">
        <f>D111-D110-D106-D88</f>
        <v>68000</v>
      </c>
    </row>
    <row r="180" spans="3:4" ht="14.7" thickBot="1" x14ac:dyDescent="0.55000000000000004"/>
    <row r="181" spans="3:4" ht="16" thickBot="1" x14ac:dyDescent="0.6">
      <c r="C181" s="322" t="s">
        <v>311</v>
      </c>
      <c r="D181" s="138">
        <f>(D111-D88-D106-D110+G111)*3.5/(10^6)*25000</f>
        <v>6069.3499999999995</v>
      </c>
    </row>
    <row r="182" spans="3:4" ht="14.7" thickBot="1" x14ac:dyDescent="0.55000000000000004"/>
    <row r="183" spans="3:4" ht="16" thickBot="1" x14ac:dyDescent="0.6">
      <c r="C183" s="322" t="s">
        <v>310</v>
      </c>
      <c r="D183" s="138">
        <f>(D88-E130+D106)*5.7/(10^6)*25000</f>
        <v>704.06684999999993</v>
      </c>
    </row>
  </sheetData>
  <dataConsolidate/>
  <mergeCells count="32">
    <mergeCell ref="H27:H30"/>
    <mergeCell ref="E27:E30"/>
    <mergeCell ref="C43:C56"/>
    <mergeCell ref="F106:G106"/>
    <mergeCell ref="F44:F47"/>
    <mergeCell ref="F51:F53"/>
    <mergeCell ref="C124:D124"/>
    <mergeCell ref="F99:G99"/>
    <mergeCell ref="F92:G92"/>
    <mergeCell ref="C60:C61"/>
    <mergeCell ref="C65:C66"/>
    <mergeCell ref="D65:D66"/>
    <mergeCell ref="F83:G83"/>
    <mergeCell ref="F81:G81"/>
    <mergeCell ref="A5:A21"/>
    <mergeCell ref="C113:D113"/>
    <mergeCell ref="C7:C8"/>
    <mergeCell ref="C9:C12"/>
    <mergeCell ref="D44:D47"/>
    <mergeCell ref="D48:D50"/>
    <mergeCell ref="D51:D53"/>
    <mergeCell ref="D55:D56"/>
    <mergeCell ref="A25:B33"/>
    <mergeCell ref="A43:B66"/>
    <mergeCell ref="C27:C31"/>
    <mergeCell ref="C32:C33"/>
    <mergeCell ref="J43:J45"/>
    <mergeCell ref="K43:K46"/>
    <mergeCell ref="I43:I44"/>
    <mergeCell ref="I31:K33"/>
    <mergeCell ref="J27:J28"/>
    <mergeCell ref="K27:K29"/>
  </mergeCells>
  <dataValidations count="3">
    <dataValidation type="list" allowBlank="1" showInputMessage="1" showErrorMessage="1" sqref="G84 E25 E37 G109 E124 G43">
      <formula1>manut</formula1>
    </dataValidation>
    <dataValidation type="list" allowBlank="1" showInputMessage="1" showErrorMessage="1" sqref="R75">
      <formula1>Nome</formula1>
    </dataValidation>
    <dataValidation type="list" allowBlank="1" showInputMessage="1" showErrorMessage="1" sqref="I28:I30 J29:J30 K30 I45:I47 J46:J47 K47">
      <formula1>pacchetti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2"/>
  <dimension ref="B2:G33"/>
  <sheetViews>
    <sheetView workbookViewId="0">
      <selection activeCell="D26" sqref="D26"/>
    </sheetView>
  </sheetViews>
  <sheetFormatPr defaultColWidth="8.8203125" defaultRowHeight="14.35" x14ac:dyDescent="0.5"/>
  <cols>
    <col min="2" max="2" width="41.17578125" bestFit="1" customWidth="1"/>
    <col min="3" max="3" width="19.17578125" bestFit="1" customWidth="1"/>
    <col min="4" max="4" width="48.8203125" bestFit="1" customWidth="1"/>
    <col min="5" max="5" width="28.87890625" bestFit="1" customWidth="1"/>
    <col min="6" max="6" width="21.64453125" bestFit="1" customWidth="1"/>
    <col min="7" max="7" width="15.46875" customWidth="1"/>
    <col min="8" max="8" width="17.46875" customWidth="1"/>
    <col min="9" max="9" width="13.46875" bestFit="1" customWidth="1"/>
    <col min="10" max="10" width="11.64453125" bestFit="1" customWidth="1"/>
  </cols>
  <sheetData>
    <row r="2" spans="2:7" ht="14.5" x14ac:dyDescent="0.35">
      <c r="B2" s="391" t="s">
        <v>143</v>
      </c>
      <c r="C2" s="392"/>
      <c r="E2" s="391" t="s">
        <v>146</v>
      </c>
      <c r="F2" s="392"/>
    </row>
    <row r="3" spans="2:7" x14ac:dyDescent="0.5">
      <c r="B3" s="96" t="s">
        <v>144</v>
      </c>
      <c r="C3" s="97" t="s">
        <v>116</v>
      </c>
      <c r="E3" s="96" t="s">
        <v>144</v>
      </c>
      <c r="F3" s="97" t="s">
        <v>116</v>
      </c>
    </row>
    <row r="4" spans="2:7" ht="14.5" x14ac:dyDescent="0.35">
      <c r="B4" s="20" t="s">
        <v>263</v>
      </c>
      <c r="C4" s="369">
        <f>'Dati in input'!D70/'Dati in input'!D69</f>
        <v>625</v>
      </c>
      <c r="E4" s="20" t="s">
        <v>145</v>
      </c>
      <c r="F4" s="201">
        <v>55</v>
      </c>
    </row>
    <row r="5" spans="2:7" ht="14.5" x14ac:dyDescent="0.35">
      <c r="B5" s="1" t="s">
        <v>260</v>
      </c>
      <c r="C5" s="197">
        <v>1000</v>
      </c>
      <c r="D5" t="s">
        <v>127</v>
      </c>
      <c r="E5" s="3" t="s">
        <v>95</v>
      </c>
      <c r="F5" s="202">
        <v>250</v>
      </c>
      <c r="G5" s="110"/>
    </row>
    <row r="6" spans="2:7" ht="14.5" x14ac:dyDescent="0.35">
      <c r="B6" s="72" t="s">
        <v>264</v>
      </c>
      <c r="C6" s="198">
        <v>5000</v>
      </c>
    </row>
    <row r="8" spans="2:7" ht="14.5" x14ac:dyDescent="0.35">
      <c r="B8" s="71"/>
    </row>
    <row r="9" spans="2:7" s="74" customFormat="1" ht="14.5" x14ac:dyDescent="0.35">
      <c r="D9"/>
      <c r="E9" s="391" t="s">
        <v>96</v>
      </c>
      <c r="F9" s="392"/>
    </row>
    <row r="10" spans="2:7" x14ac:dyDescent="0.5">
      <c r="D10" s="74"/>
      <c r="E10" s="22" t="s">
        <v>97</v>
      </c>
      <c r="F10" s="23" t="s">
        <v>154</v>
      </c>
    </row>
    <row r="11" spans="2:7" ht="14.5" x14ac:dyDescent="0.35">
      <c r="E11" s="80" t="s">
        <v>125</v>
      </c>
      <c r="F11" s="203">
        <v>100</v>
      </c>
    </row>
    <row r="13" spans="2:7" ht="14.5" x14ac:dyDescent="0.35">
      <c r="B13" s="391" t="s">
        <v>109</v>
      </c>
      <c r="C13" s="392"/>
      <c r="E13" s="391" t="s">
        <v>118</v>
      </c>
      <c r="F13" s="392"/>
    </row>
    <row r="14" spans="2:7" x14ac:dyDescent="0.5">
      <c r="B14" s="121" t="s">
        <v>110</v>
      </c>
      <c r="C14" s="97" t="s">
        <v>117</v>
      </c>
      <c r="E14" s="22" t="s">
        <v>130</v>
      </c>
      <c r="F14" s="23" t="s">
        <v>126</v>
      </c>
    </row>
    <row r="15" spans="2:7" x14ac:dyDescent="0.5">
      <c r="B15" s="123" t="s">
        <v>152</v>
      </c>
      <c r="C15" s="199">
        <v>4</v>
      </c>
      <c r="E15" s="73" t="s">
        <v>125</v>
      </c>
      <c r="F15" s="204">
        <v>15</v>
      </c>
    </row>
    <row r="16" spans="2:7" ht="14.5" x14ac:dyDescent="0.35">
      <c r="B16" s="75" t="s">
        <v>265</v>
      </c>
      <c r="C16" s="200">
        <v>500</v>
      </c>
    </row>
    <row r="17" spans="2:7" ht="14.5" x14ac:dyDescent="0.35">
      <c r="B17" s="1" t="s">
        <v>266</v>
      </c>
      <c r="C17" s="200">
        <v>500</v>
      </c>
      <c r="E17" s="391" t="s">
        <v>16</v>
      </c>
      <c r="F17" s="392"/>
    </row>
    <row r="18" spans="2:7" x14ac:dyDescent="0.5">
      <c r="B18" s="75" t="s">
        <v>267</v>
      </c>
      <c r="C18" s="200">
        <v>500</v>
      </c>
      <c r="E18" s="96" t="s">
        <v>97</v>
      </c>
      <c r="F18" s="97" t="s">
        <v>116</v>
      </c>
    </row>
    <row r="19" spans="2:7" ht="14.5" x14ac:dyDescent="0.35">
      <c r="B19" s="75" t="s">
        <v>268</v>
      </c>
      <c r="C19" s="200">
        <v>500</v>
      </c>
      <c r="E19" s="20" t="s">
        <v>297</v>
      </c>
      <c r="F19" s="208">
        <v>40</v>
      </c>
    </row>
    <row r="20" spans="2:7" ht="14.5" x14ac:dyDescent="0.35">
      <c r="B20" s="259" t="s">
        <v>269</v>
      </c>
      <c r="C20" s="260">
        <v>450</v>
      </c>
      <c r="E20" s="91" t="s">
        <v>298</v>
      </c>
      <c r="F20" s="288">
        <v>40</v>
      </c>
    </row>
    <row r="21" spans="2:7" ht="14.5" x14ac:dyDescent="0.35">
      <c r="E21" s="91" t="s">
        <v>299</v>
      </c>
      <c r="F21" s="288">
        <v>40</v>
      </c>
    </row>
    <row r="22" spans="2:7" ht="14.5" x14ac:dyDescent="0.35">
      <c r="E22" s="21" t="s">
        <v>300</v>
      </c>
      <c r="F22" s="287">
        <v>40</v>
      </c>
    </row>
    <row r="26" spans="2:7" ht="14.5" x14ac:dyDescent="0.35">
      <c r="E26" s="438" t="s">
        <v>16</v>
      </c>
      <c r="F26" s="439"/>
      <c r="G26" s="440"/>
    </row>
    <row r="27" spans="2:7" x14ac:dyDescent="0.5">
      <c r="E27" s="96" t="s">
        <v>97</v>
      </c>
      <c r="F27" s="165" t="s">
        <v>574</v>
      </c>
      <c r="G27" s="97" t="s">
        <v>317</v>
      </c>
    </row>
    <row r="28" spans="2:7" x14ac:dyDescent="0.5">
      <c r="E28" s="364" t="s">
        <v>569</v>
      </c>
      <c r="F28" s="360">
        <f>'Dati in input'!D48</f>
        <v>260</v>
      </c>
      <c r="G28" s="365" t="s">
        <v>377</v>
      </c>
    </row>
    <row r="29" spans="2:7" x14ac:dyDescent="0.5">
      <c r="E29" s="356" t="s">
        <v>570</v>
      </c>
      <c r="F29" s="362">
        <f>'Dati in input'!D57</f>
        <v>1500</v>
      </c>
      <c r="G29" s="361" t="s">
        <v>409</v>
      </c>
    </row>
    <row r="30" spans="2:7" x14ac:dyDescent="0.5">
      <c r="E30" s="356" t="s">
        <v>571</v>
      </c>
      <c r="F30" s="363">
        <f>'Dati in input'!D58</f>
        <v>500</v>
      </c>
      <c r="G30" s="361" t="s">
        <v>412</v>
      </c>
    </row>
    <row r="31" spans="2:7" x14ac:dyDescent="0.5">
      <c r="E31" s="356" t="s">
        <v>572</v>
      </c>
      <c r="F31" s="363">
        <f>'Dati in input'!D59</f>
        <v>1000</v>
      </c>
      <c r="G31" s="361" t="s">
        <v>409</v>
      </c>
    </row>
    <row r="32" spans="2:7" x14ac:dyDescent="0.5">
      <c r="E32" s="356" t="s">
        <v>573</v>
      </c>
      <c r="F32" s="363">
        <f>'Dati in input'!D60</f>
        <v>1000</v>
      </c>
      <c r="G32" s="361" t="s">
        <v>409</v>
      </c>
    </row>
    <row r="33" spans="5:7" x14ac:dyDescent="0.5">
      <c r="E33" s="366" t="s">
        <v>434</v>
      </c>
      <c r="F33" s="367">
        <f>'Dati in input'!D71</f>
        <v>12000</v>
      </c>
      <c r="G33" s="368" t="s">
        <v>409</v>
      </c>
    </row>
  </sheetData>
  <mergeCells count="7">
    <mergeCell ref="E2:F2"/>
    <mergeCell ref="B2:C2"/>
    <mergeCell ref="E26:G26"/>
    <mergeCell ref="E9:F9"/>
    <mergeCell ref="B13:C13"/>
    <mergeCell ref="E17:F17"/>
    <mergeCell ref="E13:F13"/>
  </mergeCells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9"/>
  <sheetViews>
    <sheetView zoomScale="80" zoomScaleNormal="80" zoomScalePageLayoutView="80" workbookViewId="0">
      <selection activeCell="G49" sqref="G49"/>
    </sheetView>
  </sheetViews>
  <sheetFormatPr defaultColWidth="8.8203125" defaultRowHeight="14.35" x14ac:dyDescent="0.5"/>
  <cols>
    <col min="2" max="2" width="52.17578125" customWidth="1"/>
    <col min="3" max="3" width="16.64453125" bestFit="1" customWidth="1"/>
    <col min="4" max="4" width="41.46875" bestFit="1" customWidth="1"/>
    <col min="5" max="5" width="13.8203125" style="74" customWidth="1"/>
    <col min="6" max="6" width="13.17578125" customWidth="1"/>
    <col min="7" max="7" width="35.3515625" bestFit="1" customWidth="1"/>
    <col min="8" max="8" width="16.64453125" bestFit="1" customWidth="1"/>
    <col min="9" max="9" width="21.8203125" bestFit="1" customWidth="1"/>
  </cols>
  <sheetData>
    <row r="1" spans="1:15" ht="14.5" x14ac:dyDescent="0.35">
      <c r="B1" t="s">
        <v>180</v>
      </c>
      <c r="G1" t="s">
        <v>174</v>
      </c>
    </row>
    <row r="2" spans="1:15" ht="14.5" x14ac:dyDescent="0.35">
      <c r="B2" s="391" t="s">
        <v>199</v>
      </c>
      <c r="C2" s="441"/>
      <c r="D2" s="392"/>
      <c r="G2" s="391" t="s">
        <v>172</v>
      </c>
      <c r="H2" s="441"/>
      <c r="I2" s="392"/>
    </row>
    <row r="3" spans="1:15" x14ac:dyDescent="0.5">
      <c r="B3" s="22" t="s">
        <v>144</v>
      </c>
      <c r="C3" s="152" t="s">
        <v>116</v>
      </c>
      <c r="D3" s="23" t="s">
        <v>201</v>
      </c>
      <c r="G3" s="96" t="s">
        <v>144</v>
      </c>
      <c r="H3" s="165" t="s">
        <v>116</v>
      </c>
      <c r="I3" s="97" t="s">
        <v>159</v>
      </c>
    </row>
    <row r="4" spans="1:15" ht="14.5" x14ac:dyDescent="0.35">
      <c r="B4" s="3" t="s">
        <v>200</v>
      </c>
      <c r="C4" s="205">
        <v>1000</v>
      </c>
      <c r="D4" s="206">
        <v>12</v>
      </c>
      <c r="G4" s="20" t="s">
        <v>169</v>
      </c>
      <c r="H4" s="212">
        <v>4000</v>
      </c>
      <c r="I4" s="263">
        <v>10000</v>
      </c>
    </row>
    <row r="5" spans="1:15" ht="14.5" x14ac:dyDescent="0.35">
      <c r="A5" s="12"/>
      <c r="B5" s="12"/>
      <c r="C5" s="167"/>
      <c r="D5" s="125"/>
      <c r="G5" s="3" t="s">
        <v>170</v>
      </c>
      <c r="H5" s="211">
        <v>7000</v>
      </c>
      <c r="I5" s="206">
        <v>10000</v>
      </c>
    </row>
    <row r="6" spans="1:15" ht="14.5" x14ac:dyDescent="0.35">
      <c r="B6" t="s">
        <v>180</v>
      </c>
      <c r="I6" s="84"/>
    </row>
    <row r="7" spans="1:15" ht="14.5" x14ac:dyDescent="0.35">
      <c r="B7" s="391" t="s">
        <v>143</v>
      </c>
      <c r="C7" s="441"/>
      <c r="D7" s="392"/>
      <c r="E7" s="17"/>
    </row>
    <row r="8" spans="1:15" x14ac:dyDescent="0.5">
      <c r="B8" s="22" t="s">
        <v>144</v>
      </c>
      <c r="C8" s="152" t="s">
        <v>116</v>
      </c>
      <c r="D8" s="23" t="s">
        <v>159</v>
      </c>
      <c r="E8" s="124"/>
      <c r="G8" t="s">
        <v>161</v>
      </c>
    </row>
    <row r="9" spans="1:15" ht="14.5" x14ac:dyDescent="0.35">
      <c r="B9" s="20" t="s">
        <v>259</v>
      </c>
      <c r="C9" s="207">
        <v>350</v>
      </c>
      <c r="D9" s="208">
        <v>40</v>
      </c>
      <c r="E9" s="125"/>
      <c r="G9" s="391" t="s">
        <v>160</v>
      </c>
      <c r="H9" s="441"/>
      <c r="I9" s="392"/>
    </row>
    <row r="10" spans="1:15" x14ac:dyDescent="0.5">
      <c r="B10" s="1" t="s">
        <v>260</v>
      </c>
      <c r="C10" s="167">
        <v>1000</v>
      </c>
      <c r="D10" s="209">
        <v>40</v>
      </c>
      <c r="E10" s="125"/>
      <c r="G10" s="96" t="s">
        <v>144</v>
      </c>
      <c r="H10" s="165" t="s">
        <v>116</v>
      </c>
      <c r="I10" s="97" t="s">
        <v>159</v>
      </c>
    </row>
    <row r="11" spans="1:15" ht="14.5" x14ac:dyDescent="0.35">
      <c r="B11" s="314"/>
      <c r="C11" s="315"/>
      <c r="D11" s="316"/>
      <c r="E11" s="125"/>
      <c r="G11" s="130" t="s">
        <v>260</v>
      </c>
      <c r="H11" s="212">
        <v>1000</v>
      </c>
      <c r="I11" s="208">
        <v>40</v>
      </c>
    </row>
    <row r="12" spans="1:15" ht="14.5" x14ac:dyDescent="0.35">
      <c r="D12" s="12"/>
      <c r="E12" s="18"/>
      <c r="G12" s="3" t="s">
        <v>262</v>
      </c>
      <c r="H12" s="205">
        <v>1500</v>
      </c>
      <c r="I12" s="206">
        <v>6000</v>
      </c>
    </row>
    <row r="14" spans="1:15" ht="14.5" x14ac:dyDescent="0.35">
      <c r="B14" t="s">
        <v>175</v>
      </c>
      <c r="G14" t="s">
        <v>166</v>
      </c>
    </row>
    <row r="15" spans="1:15" ht="14.5" x14ac:dyDescent="0.35">
      <c r="B15" s="391" t="s">
        <v>173</v>
      </c>
      <c r="C15" s="441"/>
      <c r="D15" s="392"/>
      <c r="E15" s="17"/>
      <c r="G15" s="391" t="s">
        <v>164</v>
      </c>
      <c r="H15" s="441"/>
      <c r="I15" s="392"/>
      <c r="M15" s="12"/>
      <c r="N15" s="12"/>
      <c r="O15" s="12"/>
    </row>
    <row r="16" spans="1:15" x14ac:dyDescent="0.5">
      <c r="B16" s="22" t="s">
        <v>144</v>
      </c>
      <c r="C16" s="152" t="s">
        <v>116</v>
      </c>
      <c r="D16" s="23" t="s">
        <v>159</v>
      </c>
      <c r="E16" s="124"/>
      <c r="G16" s="22" t="s">
        <v>144</v>
      </c>
      <c r="H16" s="152" t="s">
        <v>116</v>
      </c>
      <c r="I16" s="23" t="s">
        <v>159</v>
      </c>
      <c r="M16" s="12"/>
      <c r="N16" s="14"/>
      <c r="O16" s="12"/>
    </row>
    <row r="17" spans="2:15" ht="14.5" x14ac:dyDescent="0.35">
      <c r="B17" s="20" t="s">
        <v>171</v>
      </c>
      <c r="C17" s="207">
        <v>80</v>
      </c>
      <c r="D17" s="208">
        <f>250-80</f>
        <v>170</v>
      </c>
      <c r="E17" s="125"/>
      <c r="G17" s="73" t="s">
        <v>163</v>
      </c>
      <c r="H17" s="213">
        <v>700</v>
      </c>
      <c r="I17" s="204">
        <v>4000</v>
      </c>
      <c r="M17" s="12"/>
      <c r="N17" s="14"/>
      <c r="O17" s="12"/>
    </row>
    <row r="18" spans="2:15" ht="14.5" x14ac:dyDescent="0.35">
      <c r="B18" s="1" t="s">
        <v>260</v>
      </c>
      <c r="C18" s="167">
        <v>1000</v>
      </c>
      <c r="D18" s="209">
        <v>40</v>
      </c>
      <c r="E18" s="125"/>
      <c r="M18" s="12"/>
      <c r="N18" s="14"/>
      <c r="O18" s="12"/>
    </row>
    <row r="19" spans="2:15" ht="14.5" x14ac:dyDescent="0.35">
      <c r="B19" s="91" t="s">
        <v>168</v>
      </c>
      <c r="C19" s="210">
        <v>6000</v>
      </c>
      <c r="D19" s="262">
        <v>3000</v>
      </c>
      <c r="E19" s="125"/>
      <c r="M19" s="12"/>
      <c r="N19" s="124"/>
      <c r="O19" s="12"/>
    </row>
    <row r="20" spans="2:15" ht="14.5" x14ac:dyDescent="0.35">
      <c r="B20" s="314"/>
      <c r="C20" s="315"/>
      <c r="D20" s="320"/>
      <c r="E20" s="18"/>
      <c r="M20" s="12"/>
      <c r="N20" s="124"/>
      <c r="O20" s="12"/>
    </row>
    <row r="21" spans="2:15" ht="14.5" x14ac:dyDescent="0.35">
      <c r="B21" s="12"/>
      <c r="C21" s="12"/>
      <c r="D21" s="12"/>
      <c r="E21" s="18"/>
      <c r="M21" s="12"/>
      <c r="N21" s="124"/>
      <c r="O21" s="12"/>
    </row>
    <row r="22" spans="2:15" ht="14.5" x14ac:dyDescent="0.35">
      <c r="B22" t="s">
        <v>167</v>
      </c>
      <c r="M22" s="12"/>
      <c r="N22" s="124"/>
      <c r="O22" s="12"/>
    </row>
    <row r="23" spans="2:15" ht="14.5" x14ac:dyDescent="0.35">
      <c r="B23" s="391" t="s">
        <v>165</v>
      </c>
      <c r="C23" s="441"/>
      <c r="D23" s="392"/>
      <c r="E23" s="17"/>
      <c r="M23" s="12"/>
      <c r="N23" s="124"/>
      <c r="O23" s="12"/>
    </row>
    <row r="24" spans="2:15" x14ac:dyDescent="0.5">
      <c r="B24" s="22" t="s">
        <v>144</v>
      </c>
      <c r="C24" s="152" t="s">
        <v>116</v>
      </c>
      <c r="D24" s="23" t="s">
        <v>159</v>
      </c>
      <c r="E24" s="124"/>
      <c r="M24" s="12"/>
      <c r="N24" s="124"/>
      <c r="O24" s="12"/>
    </row>
    <row r="25" spans="2:15" ht="14.5" x14ac:dyDescent="0.35">
      <c r="B25" s="20" t="s">
        <v>261</v>
      </c>
      <c r="C25" s="207">
        <v>250</v>
      </c>
      <c r="D25" s="208">
        <v>40</v>
      </c>
      <c r="E25" s="125"/>
      <c r="M25" s="12"/>
      <c r="N25" s="124"/>
      <c r="O25" s="12"/>
    </row>
    <row r="26" spans="2:15" ht="14.5" x14ac:dyDescent="0.35">
      <c r="B26" s="1" t="s">
        <v>162</v>
      </c>
      <c r="C26" s="167">
        <v>1500</v>
      </c>
      <c r="D26" s="209">
        <v>40</v>
      </c>
      <c r="E26" s="125"/>
      <c r="G26" s="14"/>
      <c r="H26" s="151"/>
      <c r="I26" s="111"/>
      <c r="M26" s="12"/>
      <c r="N26" s="124"/>
      <c r="O26" s="12"/>
    </row>
    <row r="27" spans="2:15" ht="14.5" x14ac:dyDescent="0.35">
      <c r="B27" s="21" t="s">
        <v>254</v>
      </c>
      <c r="C27" s="265"/>
      <c r="D27" s="206">
        <v>40</v>
      </c>
      <c r="E27" s="125"/>
      <c r="G27" s="14"/>
      <c r="H27" s="12"/>
      <c r="M27" s="12"/>
      <c r="N27" s="14"/>
      <c r="O27" s="12"/>
    </row>
    <row r="28" spans="2:15" ht="14.5" x14ac:dyDescent="0.35">
      <c r="G28" s="14"/>
      <c r="H28" s="12"/>
      <c r="M28" s="12"/>
      <c r="N28" s="124"/>
      <c r="O28" s="12"/>
    </row>
    <row r="29" spans="2:15" ht="14.5" x14ac:dyDescent="0.35">
      <c r="G29" s="124"/>
      <c r="H29" s="12"/>
      <c r="M29" s="12"/>
      <c r="N29" s="12"/>
      <c r="O29" s="12"/>
    </row>
    <row r="30" spans="2:15" ht="14.5" x14ac:dyDescent="0.35">
      <c r="B30" t="s">
        <v>179</v>
      </c>
      <c r="G30" s="124"/>
      <c r="H30" s="12"/>
    </row>
    <row r="31" spans="2:15" ht="14.5" x14ac:dyDescent="0.35">
      <c r="B31" s="391" t="s">
        <v>178</v>
      </c>
      <c r="C31" s="441"/>
      <c r="D31" s="392"/>
      <c r="E31" s="17"/>
      <c r="G31" s="124"/>
      <c r="H31" s="12"/>
    </row>
    <row r="32" spans="2:15" x14ac:dyDescent="0.5">
      <c r="B32" s="22" t="s">
        <v>144</v>
      </c>
      <c r="C32" s="152" t="s">
        <v>116</v>
      </c>
      <c r="D32" s="23" t="s">
        <v>159</v>
      </c>
      <c r="E32" s="124"/>
      <c r="G32" s="124"/>
      <c r="H32" s="12"/>
    </row>
    <row r="33" spans="2:8" ht="14.5" x14ac:dyDescent="0.35">
      <c r="B33" s="20" t="s">
        <v>177</v>
      </c>
      <c r="C33" s="207">
        <v>7000</v>
      </c>
      <c r="D33" s="263">
        <v>3000</v>
      </c>
      <c r="E33" s="125"/>
      <c r="G33" s="124"/>
      <c r="H33" s="12"/>
    </row>
    <row r="34" spans="2:8" ht="14.5" x14ac:dyDescent="0.35">
      <c r="B34" s="3" t="s">
        <v>176</v>
      </c>
      <c r="C34" s="211">
        <v>16000</v>
      </c>
      <c r="D34" s="264">
        <v>6000</v>
      </c>
      <c r="E34" s="125"/>
      <c r="G34" s="124"/>
      <c r="H34" s="12"/>
    </row>
    <row r="35" spans="2:8" ht="14.5" x14ac:dyDescent="0.35">
      <c r="B35" s="12"/>
      <c r="C35" s="12"/>
      <c r="D35" s="12"/>
      <c r="E35" s="18"/>
      <c r="G35" s="124"/>
      <c r="H35" s="12"/>
    </row>
    <row r="36" spans="2:8" ht="14.5" x14ac:dyDescent="0.35">
      <c r="B36" s="12"/>
      <c r="C36" s="12"/>
      <c r="D36" s="12"/>
      <c r="E36" s="18"/>
      <c r="G36" s="124"/>
      <c r="H36" s="12"/>
    </row>
    <row r="37" spans="2:8" ht="14.5" x14ac:dyDescent="0.35">
      <c r="G37" s="124"/>
      <c r="H37" s="12"/>
    </row>
    <row r="38" spans="2:8" ht="14.5" x14ac:dyDescent="0.35">
      <c r="G38" s="14"/>
      <c r="H38" s="12"/>
    </row>
    <row r="39" spans="2:8" ht="14.5" x14ac:dyDescent="0.35">
      <c r="G39" s="124"/>
      <c r="H39" s="12"/>
    </row>
  </sheetData>
  <mergeCells count="8">
    <mergeCell ref="B2:D2"/>
    <mergeCell ref="G2:I2"/>
    <mergeCell ref="G9:I9"/>
    <mergeCell ref="B23:D23"/>
    <mergeCell ref="B31:D31"/>
    <mergeCell ref="G15:I15"/>
    <mergeCell ref="B7:D7"/>
    <mergeCell ref="B15:D15"/>
  </mergeCells>
  <pageMargins left="0.7" right="0.7" top="0.75" bottom="0.75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44"/>
  <sheetViews>
    <sheetView zoomScale="56" zoomScaleNormal="70" zoomScaleSheetLayoutView="55" zoomScalePageLayoutView="70" workbookViewId="0">
      <selection activeCell="F12" sqref="F12"/>
    </sheetView>
  </sheetViews>
  <sheetFormatPr defaultColWidth="8.8203125" defaultRowHeight="20.7" x14ac:dyDescent="0.7"/>
  <cols>
    <col min="1" max="1" width="30.17578125" style="27" customWidth="1"/>
    <col min="2" max="2" width="35.46875" style="27" customWidth="1"/>
    <col min="3" max="3" width="19.17578125" style="27" customWidth="1"/>
    <col min="4" max="4" width="22.3515625" style="27" customWidth="1"/>
    <col min="5" max="5" width="16.17578125" style="27" bestFit="1" customWidth="1"/>
    <col min="6" max="6" width="30.17578125" style="27" customWidth="1"/>
    <col min="7" max="10" width="21.3515625" style="27" customWidth="1"/>
    <col min="11" max="11" width="13.64453125" style="27" customWidth="1"/>
    <col min="12" max="12" width="18" style="27" bestFit="1" customWidth="1"/>
    <col min="13" max="13" width="16.64453125" style="27" customWidth="1"/>
    <col min="14" max="14" width="12.3515625" style="27" customWidth="1"/>
    <col min="15" max="15" width="12.17578125" style="27" customWidth="1"/>
    <col min="16" max="17" width="16.8203125" style="27" customWidth="1"/>
    <col min="18" max="18" width="10.64453125" style="27" customWidth="1"/>
    <col min="19" max="254" width="8.8203125" style="27"/>
    <col min="255" max="255" width="29.46875" style="27" customWidth="1"/>
    <col min="256" max="256" width="22.8203125" style="27" customWidth="1"/>
    <col min="257" max="257" width="14.3515625" style="27" customWidth="1"/>
    <col min="258" max="258" width="21" style="27" customWidth="1"/>
    <col min="259" max="259" width="8.3515625" style="27" bestFit="1" customWidth="1"/>
    <col min="260" max="260" width="9.3515625" style="27" bestFit="1" customWidth="1"/>
    <col min="261" max="261" width="20" style="27" bestFit="1" customWidth="1"/>
    <col min="262" max="262" width="13.64453125" style="27" bestFit="1" customWidth="1"/>
    <col min="263" max="263" width="16.17578125" style="27" bestFit="1" customWidth="1"/>
    <col min="264" max="264" width="12.17578125" style="27" bestFit="1" customWidth="1"/>
    <col min="265" max="265" width="10.64453125" style="27" bestFit="1" customWidth="1"/>
    <col min="266" max="266" width="12.8203125" style="27" bestFit="1" customWidth="1"/>
    <col min="267" max="267" width="10.64453125" style="27" bestFit="1" customWidth="1"/>
    <col min="268" max="268" width="12.8203125" style="27" bestFit="1" customWidth="1"/>
    <col min="269" max="269" width="8.8203125" style="27" bestFit="1" customWidth="1"/>
    <col min="270" max="510" width="8.8203125" style="27"/>
    <col min="511" max="511" width="29.46875" style="27" customWidth="1"/>
    <col min="512" max="512" width="22.8203125" style="27" customWidth="1"/>
    <col min="513" max="513" width="14.3515625" style="27" customWidth="1"/>
    <col min="514" max="514" width="21" style="27" customWidth="1"/>
    <col min="515" max="515" width="8.3515625" style="27" bestFit="1" customWidth="1"/>
    <col min="516" max="516" width="9.3515625" style="27" bestFit="1" customWidth="1"/>
    <col min="517" max="517" width="20" style="27" bestFit="1" customWidth="1"/>
    <col min="518" max="518" width="13.64453125" style="27" bestFit="1" customWidth="1"/>
    <col min="519" max="519" width="16.17578125" style="27" bestFit="1" customWidth="1"/>
    <col min="520" max="520" width="12.17578125" style="27" bestFit="1" customWidth="1"/>
    <col min="521" max="521" width="10.64453125" style="27" bestFit="1" customWidth="1"/>
    <col min="522" max="522" width="12.8203125" style="27" bestFit="1" customWidth="1"/>
    <col min="523" max="523" width="10.64453125" style="27" bestFit="1" customWidth="1"/>
    <col min="524" max="524" width="12.8203125" style="27" bestFit="1" customWidth="1"/>
    <col min="525" max="525" width="8.8203125" style="27" bestFit="1" customWidth="1"/>
    <col min="526" max="766" width="8.8203125" style="27"/>
    <col min="767" max="767" width="29.46875" style="27" customWidth="1"/>
    <col min="768" max="768" width="22.8203125" style="27" customWidth="1"/>
    <col min="769" max="769" width="14.3515625" style="27" customWidth="1"/>
    <col min="770" max="770" width="21" style="27" customWidth="1"/>
    <col min="771" max="771" width="8.3515625" style="27" bestFit="1" customWidth="1"/>
    <col min="772" max="772" width="9.3515625" style="27" bestFit="1" customWidth="1"/>
    <col min="773" max="773" width="20" style="27" bestFit="1" customWidth="1"/>
    <col min="774" max="774" width="13.64453125" style="27" bestFit="1" customWidth="1"/>
    <col min="775" max="775" width="16.17578125" style="27" bestFit="1" customWidth="1"/>
    <col min="776" max="776" width="12.17578125" style="27" bestFit="1" customWidth="1"/>
    <col min="777" max="777" width="10.64453125" style="27" bestFit="1" customWidth="1"/>
    <col min="778" max="778" width="12.8203125" style="27" bestFit="1" customWidth="1"/>
    <col min="779" max="779" width="10.64453125" style="27" bestFit="1" customWidth="1"/>
    <col min="780" max="780" width="12.8203125" style="27" bestFit="1" customWidth="1"/>
    <col min="781" max="781" width="8.8203125" style="27" bestFit="1" customWidth="1"/>
    <col min="782" max="1022" width="8.8203125" style="27"/>
    <col min="1023" max="1023" width="29.46875" style="27" customWidth="1"/>
    <col min="1024" max="1024" width="22.8203125" style="27" customWidth="1"/>
    <col min="1025" max="1025" width="14.3515625" style="27" customWidth="1"/>
    <col min="1026" max="1026" width="21" style="27" customWidth="1"/>
    <col min="1027" max="1027" width="8.3515625" style="27" bestFit="1" customWidth="1"/>
    <col min="1028" max="1028" width="9.3515625" style="27" bestFit="1" customWidth="1"/>
    <col min="1029" max="1029" width="20" style="27" bestFit="1" customWidth="1"/>
    <col min="1030" max="1030" width="13.64453125" style="27" bestFit="1" customWidth="1"/>
    <col min="1031" max="1031" width="16.17578125" style="27" bestFit="1" customWidth="1"/>
    <col min="1032" max="1032" width="12.17578125" style="27" bestFit="1" customWidth="1"/>
    <col min="1033" max="1033" width="10.64453125" style="27" bestFit="1" customWidth="1"/>
    <col min="1034" max="1034" width="12.8203125" style="27" bestFit="1" customWidth="1"/>
    <col min="1035" max="1035" width="10.64453125" style="27" bestFit="1" customWidth="1"/>
    <col min="1036" max="1036" width="12.8203125" style="27" bestFit="1" customWidth="1"/>
    <col min="1037" max="1037" width="8.8203125" style="27" bestFit="1" customWidth="1"/>
    <col min="1038" max="1278" width="8.8203125" style="27"/>
    <col min="1279" max="1279" width="29.46875" style="27" customWidth="1"/>
    <col min="1280" max="1280" width="22.8203125" style="27" customWidth="1"/>
    <col min="1281" max="1281" width="14.3515625" style="27" customWidth="1"/>
    <col min="1282" max="1282" width="21" style="27" customWidth="1"/>
    <col min="1283" max="1283" width="8.3515625" style="27" bestFit="1" customWidth="1"/>
    <col min="1284" max="1284" width="9.3515625" style="27" bestFit="1" customWidth="1"/>
    <col min="1285" max="1285" width="20" style="27" bestFit="1" customWidth="1"/>
    <col min="1286" max="1286" width="13.64453125" style="27" bestFit="1" customWidth="1"/>
    <col min="1287" max="1287" width="16.17578125" style="27" bestFit="1" customWidth="1"/>
    <col min="1288" max="1288" width="12.17578125" style="27" bestFit="1" customWidth="1"/>
    <col min="1289" max="1289" width="10.64453125" style="27" bestFit="1" customWidth="1"/>
    <col min="1290" max="1290" width="12.8203125" style="27" bestFit="1" customWidth="1"/>
    <col min="1291" max="1291" width="10.64453125" style="27" bestFit="1" customWidth="1"/>
    <col min="1292" max="1292" width="12.8203125" style="27" bestFit="1" customWidth="1"/>
    <col min="1293" max="1293" width="8.8203125" style="27" bestFit="1" customWidth="1"/>
    <col min="1294" max="1534" width="8.8203125" style="27"/>
    <col min="1535" max="1535" width="29.46875" style="27" customWidth="1"/>
    <col min="1536" max="1536" width="22.8203125" style="27" customWidth="1"/>
    <col min="1537" max="1537" width="14.3515625" style="27" customWidth="1"/>
    <col min="1538" max="1538" width="21" style="27" customWidth="1"/>
    <col min="1539" max="1539" width="8.3515625" style="27" bestFit="1" customWidth="1"/>
    <col min="1540" max="1540" width="9.3515625" style="27" bestFit="1" customWidth="1"/>
    <col min="1541" max="1541" width="20" style="27" bestFit="1" customWidth="1"/>
    <col min="1542" max="1542" width="13.64453125" style="27" bestFit="1" customWidth="1"/>
    <col min="1543" max="1543" width="16.17578125" style="27" bestFit="1" customWidth="1"/>
    <col min="1544" max="1544" width="12.17578125" style="27" bestFit="1" customWidth="1"/>
    <col min="1545" max="1545" width="10.64453125" style="27" bestFit="1" customWidth="1"/>
    <col min="1546" max="1546" width="12.8203125" style="27" bestFit="1" customWidth="1"/>
    <col min="1547" max="1547" width="10.64453125" style="27" bestFit="1" customWidth="1"/>
    <col min="1548" max="1548" width="12.8203125" style="27" bestFit="1" customWidth="1"/>
    <col min="1549" max="1549" width="8.8203125" style="27" bestFit="1" customWidth="1"/>
    <col min="1550" max="1790" width="8.8203125" style="27"/>
    <col min="1791" max="1791" width="29.46875" style="27" customWidth="1"/>
    <col min="1792" max="1792" width="22.8203125" style="27" customWidth="1"/>
    <col min="1793" max="1793" width="14.3515625" style="27" customWidth="1"/>
    <col min="1794" max="1794" width="21" style="27" customWidth="1"/>
    <col min="1795" max="1795" width="8.3515625" style="27" bestFit="1" customWidth="1"/>
    <col min="1796" max="1796" width="9.3515625" style="27" bestFit="1" customWidth="1"/>
    <col min="1797" max="1797" width="20" style="27" bestFit="1" customWidth="1"/>
    <col min="1798" max="1798" width="13.64453125" style="27" bestFit="1" customWidth="1"/>
    <col min="1799" max="1799" width="16.17578125" style="27" bestFit="1" customWidth="1"/>
    <col min="1800" max="1800" width="12.17578125" style="27" bestFit="1" customWidth="1"/>
    <col min="1801" max="1801" width="10.64453125" style="27" bestFit="1" customWidth="1"/>
    <col min="1802" max="1802" width="12.8203125" style="27" bestFit="1" customWidth="1"/>
    <col min="1803" max="1803" width="10.64453125" style="27" bestFit="1" customWidth="1"/>
    <col min="1804" max="1804" width="12.8203125" style="27" bestFit="1" customWidth="1"/>
    <col min="1805" max="1805" width="8.8203125" style="27" bestFit="1" customWidth="1"/>
    <col min="1806" max="2046" width="8.8203125" style="27"/>
    <col min="2047" max="2047" width="29.46875" style="27" customWidth="1"/>
    <col min="2048" max="2048" width="22.8203125" style="27" customWidth="1"/>
    <col min="2049" max="2049" width="14.3515625" style="27" customWidth="1"/>
    <col min="2050" max="2050" width="21" style="27" customWidth="1"/>
    <col min="2051" max="2051" width="8.3515625" style="27" bestFit="1" customWidth="1"/>
    <col min="2052" max="2052" width="9.3515625" style="27" bestFit="1" customWidth="1"/>
    <col min="2053" max="2053" width="20" style="27" bestFit="1" customWidth="1"/>
    <col min="2054" max="2054" width="13.64453125" style="27" bestFit="1" customWidth="1"/>
    <col min="2055" max="2055" width="16.17578125" style="27" bestFit="1" customWidth="1"/>
    <col min="2056" max="2056" width="12.17578125" style="27" bestFit="1" customWidth="1"/>
    <col min="2057" max="2057" width="10.64453125" style="27" bestFit="1" customWidth="1"/>
    <col min="2058" max="2058" width="12.8203125" style="27" bestFit="1" customWidth="1"/>
    <col min="2059" max="2059" width="10.64453125" style="27" bestFit="1" customWidth="1"/>
    <col min="2060" max="2060" width="12.8203125" style="27" bestFit="1" customWidth="1"/>
    <col min="2061" max="2061" width="8.8203125" style="27" bestFit="1" customWidth="1"/>
    <col min="2062" max="2302" width="8.8203125" style="27"/>
    <col min="2303" max="2303" width="29.46875" style="27" customWidth="1"/>
    <col min="2304" max="2304" width="22.8203125" style="27" customWidth="1"/>
    <col min="2305" max="2305" width="14.3515625" style="27" customWidth="1"/>
    <col min="2306" max="2306" width="21" style="27" customWidth="1"/>
    <col min="2307" max="2307" width="8.3515625" style="27" bestFit="1" customWidth="1"/>
    <col min="2308" max="2308" width="9.3515625" style="27" bestFit="1" customWidth="1"/>
    <col min="2309" max="2309" width="20" style="27" bestFit="1" customWidth="1"/>
    <col min="2310" max="2310" width="13.64453125" style="27" bestFit="1" customWidth="1"/>
    <col min="2311" max="2311" width="16.17578125" style="27" bestFit="1" customWidth="1"/>
    <col min="2312" max="2312" width="12.17578125" style="27" bestFit="1" customWidth="1"/>
    <col min="2313" max="2313" width="10.64453125" style="27" bestFit="1" customWidth="1"/>
    <col min="2314" max="2314" width="12.8203125" style="27" bestFit="1" customWidth="1"/>
    <col min="2315" max="2315" width="10.64453125" style="27" bestFit="1" customWidth="1"/>
    <col min="2316" max="2316" width="12.8203125" style="27" bestFit="1" customWidth="1"/>
    <col min="2317" max="2317" width="8.8203125" style="27" bestFit="1" customWidth="1"/>
    <col min="2318" max="2558" width="8.8203125" style="27"/>
    <col min="2559" max="2559" width="29.46875" style="27" customWidth="1"/>
    <col min="2560" max="2560" width="22.8203125" style="27" customWidth="1"/>
    <col min="2561" max="2561" width="14.3515625" style="27" customWidth="1"/>
    <col min="2562" max="2562" width="21" style="27" customWidth="1"/>
    <col min="2563" max="2563" width="8.3515625" style="27" bestFit="1" customWidth="1"/>
    <col min="2564" max="2564" width="9.3515625" style="27" bestFit="1" customWidth="1"/>
    <col min="2565" max="2565" width="20" style="27" bestFit="1" customWidth="1"/>
    <col min="2566" max="2566" width="13.64453125" style="27" bestFit="1" customWidth="1"/>
    <col min="2567" max="2567" width="16.17578125" style="27" bestFit="1" customWidth="1"/>
    <col min="2568" max="2568" width="12.17578125" style="27" bestFit="1" customWidth="1"/>
    <col min="2569" max="2569" width="10.64453125" style="27" bestFit="1" customWidth="1"/>
    <col min="2570" max="2570" width="12.8203125" style="27" bestFit="1" customWidth="1"/>
    <col min="2571" max="2571" width="10.64453125" style="27" bestFit="1" customWidth="1"/>
    <col min="2572" max="2572" width="12.8203125" style="27" bestFit="1" customWidth="1"/>
    <col min="2573" max="2573" width="8.8203125" style="27" bestFit="1" customWidth="1"/>
    <col min="2574" max="2814" width="8.8203125" style="27"/>
    <col min="2815" max="2815" width="29.46875" style="27" customWidth="1"/>
    <col min="2816" max="2816" width="22.8203125" style="27" customWidth="1"/>
    <col min="2817" max="2817" width="14.3515625" style="27" customWidth="1"/>
    <col min="2818" max="2818" width="21" style="27" customWidth="1"/>
    <col min="2819" max="2819" width="8.3515625" style="27" bestFit="1" customWidth="1"/>
    <col min="2820" max="2820" width="9.3515625" style="27" bestFit="1" customWidth="1"/>
    <col min="2821" max="2821" width="20" style="27" bestFit="1" customWidth="1"/>
    <col min="2822" max="2822" width="13.64453125" style="27" bestFit="1" customWidth="1"/>
    <col min="2823" max="2823" width="16.17578125" style="27" bestFit="1" customWidth="1"/>
    <col min="2824" max="2824" width="12.17578125" style="27" bestFit="1" customWidth="1"/>
    <col min="2825" max="2825" width="10.64453125" style="27" bestFit="1" customWidth="1"/>
    <col min="2826" max="2826" width="12.8203125" style="27" bestFit="1" customWidth="1"/>
    <col min="2827" max="2827" width="10.64453125" style="27" bestFit="1" customWidth="1"/>
    <col min="2828" max="2828" width="12.8203125" style="27" bestFit="1" customWidth="1"/>
    <col min="2829" max="2829" width="8.8203125" style="27" bestFit="1" customWidth="1"/>
    <col min="2830" max="3070" width="8.8203125" style="27"/>
    <col min="3071" max="3071" width="29.46875" style="27" customWidth="1"/>
    <col min="3072" max="3072" width="22.8203125" style="27" customWidth="1"/>
    <col min="3073" max="3073" width="14.3515625" style="27" customWidth="1"/>
    <col min="3074" max="3074" width="21" style="27" customWidth="1"/>
    <col min="3075" max="3075" width="8.3515625" style="27" bestFit="1" customWidth="1"/>
    <col min="3076" max="3076" width="9.3515625" style="27" bestFit="1" customWidth="1"/>
    <col min="3077" max="3077" width="20" style="27" bestFit="1" customWidth="1"/>
    <col min="3078" max="3078" width="13.64453125" style="27" bestFit="1" customWidth="1"/>
    <col min="3079" max="3079" width="16.17578125" style="27" bestFit="1" customWidth="1"/>
    <col min="3080" max="3080" width="12.17578125" style="27" bestFit="1" customWidth="1"/>
    <col min="3081" max="3081" width="10.64453125" style="27" bestFit="1" customWidth="1"/>
    <col min="3082" max="3082" width="12.8203125" style="27" bestFit="1" customWidth="1"/>
    <col min="3083" max="3083" width="10.64453125" style="27" bestFit="1" customWidth="1"/>
    <col min="3084" max="3084" width="12.8203125" style="27" bestFit="1" customWidth="1"/>
    <col min="3085" max="3085" width="8.8203125" style="27" bestFit="1" customWidth="1"/>
    <col min="3086" max="3326" width="8.8203125" style="27"/>
    <col min="3327" max="3327" width="29.46875" style="27" customWidth="1"/>
    <col min="3328" max="3328" width="22.8203125" style="27" customWidth="1"/>
    <col min="3329" max="3329" width="14.3515625" style="27" customWidth="1"/>
    <col min="3330" max="3330" width="21" style="27" customWidth="1"/>
    <col min="3331" max="3331" width="8.3515625" style="27" bestFit="1" customWidth="1"/>
    <col min="3332" max="3332" width="9.3515625" style="27" bestFit="1" customWidth="1"/>
    <col min="3333" max="3333" width="20" style="27" bestFit="1" customWidth="1"/>
    <col min="3334" max="3334" width="13.64453125" style="27" bestFit="1" customWidth="1"/>
    <col min="3335" max="3335" width="16.17578125" style="27" bestFit="1" customWidth="1"/>
    <col min="3336" max="3336" width="12.17578125" style="27" bestFit="1" customWidth="1"/>
    <col min="3337" max="3337" width="10.64453125" style="27" bestFit="1" customWidth="1"/>
    <col min="3338" max="3338" width="12.8203125" style="27" bestFit="1" customWidth="1"/>
    <col min="3339" max="3339" width="10.64453125" style="27" bestFit="1" customWidth="1"/>
    <col min="3340" max="3340" width="12.8203125" style="27" bestFit="1" customWidth="1"/>
    <col min="3341" max="3341" width="8.8203125" style="27" bestFit="1" customWidth="1"/>
    <col min="3342" max="3582" width="8.8203125" style="27"/>
    <col min="3583" max="3583" width="29.46875" style="27" customWidth="1"/>
    <col min="3584" max="3584" width="22.8203125" style="27" customWidth="1"/>
    <col min="3585" max="3585" width="14.3515625" style="27" customWidth="1"/>
    <col min="3586" max="3586" width="21" style="27" customWidth="1"/>
    <col min="3587" max="3587" width="8.3515625" style="27" bestFit="1" customWidth="1"/>
    <col min="3588" max="3588" width="9.3515625" style="27" bestFit="1" customWidth="1"/>
    <col min="3589" max="3589" width="20" style="27" bestFit="1" customWidth="1"/>
    <col min="3590" max="3590" width="13.64453125" style="27" bestFit="1" customWidth="1"/>
    <col min="3591" max="3591" width="16.17578125" style="27" bestFit="1" customWidth="1"/>
    <col min="3592" max="3592" width="12.17578125" style="27" bestFit="1" customWidth="1"/>
    <col min="3593" max="3593" width="10.64453125" style="27" bestFit="1" customWidth="1"/>
    <col min="3594" max="3594" width="12.8203125" style="27" bestFit="1" customWidth="1"/>
    <col min="3595" max="3595" width="10.64453125" style="27" bestFit="1" customWidth="1"/>
    <col min="3596" max="3596" width="12.8203125" style="27" bestFit="1" customWidth="1"/>
    <col min="3597" max="3597" width="8.8203125" style="27" bestFit="1" customWidth="1"/>
    <col min="3598" max="3838" width="8.8203125" style="27"/>
    <col min="3839" max="3839" width="29.46875" style="27" customWidth="1"/>
    <col min="3840" max="3840" width="22.8203125" style="27" customWidth="1"/>
    <col min="3841" max="3841" width="14.3515625" style="27" customWidth="1"/>
    <col min="3842" max="3842" width="21" style="27" customWidth="1"/>
    <col min="3843" max="3843" width="8.3515625" style="27" bestFit="1" customWidth="1"/>
    <col min="3844" max="3844" width="9.3515625" style="27" bestFit="1" customWidth="1"/>
    <col min="3845" max="3845" width="20" style="27" bestFit="1" customWidth="1"/>
    <col min="3846" max="3846" width="13.64453125" style="27" bestFit="1" customWidth="1"/>
    <col min="3847" max="3847" width="16.17578125" style="27" bestFit="1" customWidth="1"/>
    <col min="3848" max="3848" width="12.17578125" style="27" bestFit="1" customWidth="1"/>
    <col min="3849" max="3849" width="10.64453125" style="27" bestFit="1" customWidth="1"/>
    <col min="3850" max="3850" width="12.8203125" style="27" bestFit="1" customWidth="1"/>
    <col min="3851" max="3851" width="10.64453125" style="27" bestFit="1" customWidth="1"/>
    <col min="3852" max="3852" width="12.8203125" style="27" bestFit="1" customWidth="1"/>
    <col min="3853" max="3853" width="8.8203125" style="27" bestFit="1" customWidth="1"/>
    <col min="3854" max="4094" width="8.8203125" style="27"/>
    <col min="4095" max="4095" width="29.46875" style="27" customWidth="1"/>
    <col min="4096" max="4096" width="22.8203125" style="27" customWidth="1"/>
    <col min="4097" max="4097" width="14.3515625" style="27" customWidth="1"/>
    <col min="4098" max="4098" width="21" style="27" customWidth="1"/>
    <col min="4099" max="4099" width="8.3515625" style="27" bestFit="1" customWidth="1"/>
    <col min="4100" max="4100" width="9.3515625" style="27" bestFit="1" customWidth="1"/>
    <col min="4101" max="4101" width="20" style="27" bestFit="1" customWidth="1"/>
    <col min="4102" max="4102" width="13.64453125" style="27" bestFit="1" customWidth="1"/>
    <col min="4103" max="4103" width="16.17578125" style="27" bestFit="1" customWidth="1"/>
    <col min="4104" max="4104" width="12.17578125" style="27" bestFit="1" customWidth="1"/>
    <col min="4105" max="4105" width="10.64453125" style="27" bestFit="1" customWidth="1"/>
    <col min="4106" max="4106" width="12.8203125" style="27" bestFit="1" customWidth="1"/>
    <col min="4107" max="4107" width="10.64453125" style="27" bestFit="1" customWidth="1"/>
    <col min="4108" max="4108" width="12.8203125" style="27" bestFit="1" customWidth="1"/>
    <col min="4109" max="4109" width="8.8203125" style="27" bestFit="1" customWidth="1"/>
    <col min="4110" max="4350" width="8.8203125" style="27"/>
    <col min="4351" max="4351" width="29.46875" style="27" customWidth="1"/>
    <col min="4352" max="4352" width="22.8203125" style="27" customWidth="1"/>
    <col min="4353" max="4353" width="14.3515625" style="27" customWidth="1"/>
    <col min="4354" max="4354" width="21" style="27" customWidth="1"/>
    <col min="4355" max="4355" width="8.3515625" style="27" bestFit="1" customWidth="1"/>
    <col min="4356" max="4356" width="9.3515625" style="27" bestFit="1" customWidth="1"/>
    <col min="4357" max="4357" width="20" style="27" bestFit="1" customWidth="1"/>
    <col min="4358" max="4358" width="13.64453125" style="27" bestFit="1" customWidth="1"/>
    <col min="4359" max="4359" width="16.17578125" style="27" bestFit="1" customWidth="1"/>
    <col min="4360" max="4360" width="12.17578125" style="27" bestFit="1" customWidth="1"/>
    <col min="4361" max="4361" width="10.64453125" style="27" bestFit="1" customWidth="1"/>
    <col min="4362" max="4362" width="12.8203125" style="27" bestFit="1" customWidth="1"/>
    <col min="4363" max="4363" width="10.64453125" style="27" bestFit="1" customWidth="1"/>
    <col min="4364" max="4364" width="12.8203125" style="27" bestFit="1" customWidth="1"/>
    <col min="4365" max="4365" width="8.8203125" style="27" bestFit="1" customWidth="1"/>
    <col min="4366" max="4606" width="8.8203125" style="27"/>
    <col min="4607" max="4607" width="29.46875" style="27" customWidth="1"/>
    <col min="4608" max="4608" width="22.8203125" style="27" customWidth="1"/>
    <col min="4609" max="4609" width="14.3515625" style="27" customWidth="1"/>
    <col min="4610" max="4610" width="21" style="27" customWidth="1"/>
    <col min="4611" max="4611" width="8.3515625" style="27" bestFit="1" customWidth="1"/>
    <col min="4612" max="4612" width="9.3515625" style="27" bestFit="1" customWidth="1"/>
    <col min="4613" max="4613" width="20" style="27" bestFit="1" customWidth="1"/>
    <col min="4614" max="4614" width="13.64453125" style="27" bestFit="1" customWidth="1"/>
    <col min="4615" max="4615" width="16.17578125" style="27" bestFit="1" customWidth="1"/>
    <col min="4616" max="4616" width="12.17578125" style="27" bestFit="1" customWidth="1"/>
    <col min="4617" max="4617" width="10.64453125" style="27" bestFit="1" customWidth="1"/>
    <col min="4618" max="4618" width="12.8203125" style="27" bestFit="1" customWidth="1"/>
    <col min="4619" max="4619" width="10.64453125" style="27" bestFit="1" customWidth="1"/>
    <col min="4620" max="4620" width="12.8203125" style="27" bestFit="1" customWidth="1"/>
    <col min="4621" max="4621" width="8.8203125" style="27" bestFit="1" customWidth="1"/>
    <col min="4622" max="4862" width="8.8203125" style="27"/>
    <col min="4863" max="4863" width="29.46875" style="27" customWidth="1"/>
    <col min="4864" max="4864" width="22.8203125" style="27" customWidth="1"/>
    <col min="4865" max="4865" width="14.3515625" style="27" customWidth="1"/>
    <col min="4866" max="4866" width="21" style="27" customWidth="1"/>
    <col min="4867" max="4867" width="8.3515625" style="27" bestFit="1" customWidth="1"/>
    <col min="4868" max="4868" width="9.3515625" style="27" bestFit="1" customWidth="1"/>
    <col min="4869" max="4869" width="20" style="27" bestFit="1" customWidth="1"/>
    <col min="4870" max="4870" width="13.64453125" style="27" bestFit="1" customWidth="1"/>
    <col min="4871" max="4871" width="16.17578125" style="27" bestFit="1" customWidth="1"/>
    <col min="4872" max="4872" width="12.17578125" style="27" bestFit="1" customWidth="1"/>
    <col min="4873" max="4873" width="10.64453125" style="27" bestFit="1" customWidth="1"/>
    <col min="4874" max="4874" width="12.8203125" style="27" bestFit="1" customWidth="1"/>
    <col min="4875" max="4875" width="10.64453125" style="27" bestFit="1" customWidth="1"/>
    <col min="4876" max="4876" width="12.8203125" style="27" bestFit="1" customWidth="1"/>
    <col min="4877" max="4877" width="8.8203125" style="27" bestFit="1" customWidth="1"/>
    <col min="4878" max="5118" width="8.8203125" style="27"/>
    <col min="5119" max="5119" width="29.46875" style="27" customWidth="1"/>
    <col min="5120" max="5120" width="22.8203125" style="27" customWidth="1"/>
    <col min="5121" max="5121" width="14.3515625" style="27" customWidth="1"/>
    <col min="5122" max="5122" width="21" style="27" customWidth="1"/>
    <col min="5123" max="5123" width="8.3515625" style="27" bestFit="1" customWidth="1"/>
    <col min="5124" max="5124" width="9.3515625" style="27" bestFit="1" customWidth="1"/>
    <col min="5125" max="5125" width="20" style="27" bestFit="1" customWidth="1"/>
    <col min="5126" max="5126" width="13.64453125" style="27" bestFit="1" customWidth="1"/>
    <col min="5127" max="5127" width="16.17578125" style="27" bestFit="1" customWidth="1"/>
    <col min="5128" max="5128" width="12.17578125" style="27" bestFit="1" customWidth="1"/>
    <col min="5129" max="5129" width="10.64453125" style="27" bestFit="1" customWidth="1"/>
    <col min="5130" max="5130" width="12.8203125" style="27" bestFit="1" customWidth="1"/>
    <col min="5131" max="5131" width="10.64453125" style="27" bestFit="1" customWidth="1"/>
    <col min="5132" max="5132" width="12.8203125" style="27" bestFit="1" customWidth="1"/>
    <col min="5133" max="5133" width="8.8203125" style="27" bestFit="1" customWidth="1"/>
    <col min="5134" max="5374" width="8.8203125" style="27"/>
    <col min="5375" max="5375" width="29.46875" style="27" customWidth="1"/>
    <col min="5376" max="5376" width="22.8203125" style="27" customWidth="1"/>
    <col min="5377" max="5377" width="14.3515625" style="27" customWidth="1"/>
    <col min="5378" max="5378" width="21" style="27" customWidth="1"/>
    <col min="5379" max="5379" width="8.3515625" style="27" bestFit="1" customWidth="1"/>
    <col min="5380" max="5380" width="9.3515625" style="27" bestFit="1" customWidth="1"/>
    <col min="5381" max="5381" width="20" style="27" bestFit="1" customWidth="1"/>
    <col min="5382" max="5382" width="13.64453125" style="27" bestFit="1" customWidth="1"/>
    <col min="5383" max="5383" width="16.17578125" style="27" bestFit="1" customWidth="1"/>
    <col min="5384" max="5384" width="12.17578125" style="27" bestFit="1" customWidth="1"/>
    <col min="5385" max="5385" width="10.64453125" style="27" bestFit="1" customWidth="1"/>
    <col min="5386" max="5386" width="12.8203125" style="27" bestFit="1" customWidth="1"/>
    <col min="5387" max="5387" width="10.64453125" style="27" bestFit="1" customWidth="1"/>
    <col min="5388" max="5388" width="12.8203125" style="27" bestFit="1" customWidth="1"/>
    <col min="5389" max="5389" width="8.8203125" style="27" bestFit="1" customWidth="1"/>
    <col min="5390" max="5630" width="8.8203125" style="27"/>
    <col min="5631" max="5631" width="29.46875" style="27" customWidth="1"/>
    <col min="5632" max="5632" width="22.8203125" style="27" customWidth="1"/>
    <col min="5633" max="5633" width="14.3515625" style="27" customWidth="1"/>
    <col min="5634" max="5634" width="21" style="27" customWidth="1"/>
    <col min="5635" max="5635" width="8.3515625" style="27" bestFit="1" customWidth="1"/>
    <col min="5636" max="5636" width="9.3515625" style="27" bestFit="1" customWidth="1"/>
    <col min="5637" max="5637" width="20" style="27" bestFit="1" customWidth="1"/>
    <col min="5638" max="5638" width="13.64453125" style="27" bestFit="1" customWidth="1"/>
    <col min="5639" max="5639" width="16.17578125" style="27" bestFit="1" customWidth="1"/>
    <col min="5640" max="5640" width="12.17578125" style="27" bestFit="1" customWidth="1"/>
    <col min="5641" max="5641" width="10.64453125" style="27" bestFit="1" customWidth="1"/>
    <col min="5642" max="5642" width="12.8203125" style="27" bestFit="1" customWidth="1"/>
    <col min="5643" max="5643" width="10.64453125" style="27" bestFit="1" customWidth="1"/>
    <col min="5644" max="5644" width="12.8203125" style="27" bestFit="1" customWidth="1"/>
    <col min="5645" max="5645" width="8.8203125" style="27" bestFit="1" customWidth="1"/>
    <col min="5646" max="5886" width="8.8203125" style="27"/>
    <col min="5887" max="5887" width="29.46875" style="27" customWidth="1"/>
    <col min="5888" max="5888" width="22.8203125" style="27" customWidth="1"/>
    <col min="5889" max="5889" width="14.3515625" style="27" customWidth="1"/>
    <col min="5890" max="5890" width="21" style="27" customWidth="1"/>
    <col min="5891" max="5891" width="8.3515625" style="27" bestFit="1" customWidth="1"/>
    <col min="5892" max="5892" width="9.3515625" style="27" bestFit="1" customWidth="1"/>
    <col min="5893" max="5893" width="20" style="27" bestFit="1" customWidth="1"/>
    <col min="5894" max="5894" width="13.64453125" style="27" bestFit="1" customWidth="1"/>
    <col min="5895" max="5895" width="16.17578125" style="27" bestFit="1" customWidth="1"/>
    <col min="5896" max="5896" width="12.17578125" style="27" bestFit="1" customWidth="1"/>
    <col min="5897" max="5897" width="10.64453125" style="27" bestFit="1" customWidth="1"/>
    <col min="5898" max="5898" width="12.8203125" style="27" bestFit="1" customWidth="1"/>
    <col min="5899" max="5899" width="10.64453125" style="27" bestFit="1" customWidth="1"/>
    <col min="5900" max="5900" width="12.8203125" style="27" bestFit="1" customWidth="1"/>
    <col min="5901" max="5901" width="8.8203125" style="27" bestFit="1" customWidth="1"/>
    <col min="5902" max="6142" width="8.8203125" style="27"/>
    <col min="6143" max="6143" width="29.46875" style="27" customWidth="1"/>
    <col min="6144" max="6144" width="22.8203125" style="27" customWidth="1"/>
    <col min="6145" max="6145" width="14.3515625" style="27" customWidth="1"/>
    <col min="6146" max="6146" width="21" style="27" customWidth="1"/>
    <col min="6147" max="6147" width="8.3515625" style="27" bestFit="1" customWidth="1"/>
    <col min="6148" max="6148" width="9.3515625" style="27" bestFit="1" customWidth="1"/>
    <col min="6149" max="6149" width="20" style="27" bestFit="1" customWidth="1"/>
    <col min="6150" max="6150" width="13.64453125" style="27" bestFit="1" customWidth="1"/>
    <col min="6151" max="6151" width="16.17578125" style="27" bestFit="1" customWidth="1"/>
    <col min="6152" max="6152" width="12.17578125" style="27" bestFit="1" customWidth="1"/>
    <col min="6153" max="6153" width="10.64453125" style="27" bestFit="1" customWidth="1"/>
    <col min="6154" max="6154" width="12.8203125" style="27" bestFit="1" customWidth="1"/>
    <col min="6155" max="6155" width="10.64453125" style="27" bestFit="1" customWidth="1"/>
    <col min="6156" max="6156" width="12.8203125" style="27" bestFit="1" customWidth="1"/>
    <col min="6157" max="6157" width="8.8203125" style="27" bestFit="1" customWidth="1"/>
    <col min="6158" max="6398" width="8.8203125" style="27"/>
    <col min="6399" max="6399" width="29.46875" style="27" customWidth="1"/>
    <col min="6400" max="6400" width="22.8203125" style="27" customWidth="1"/>
    <col min="6401" max="6401" width="14.3515625" style="27" customWidth="1"/>
    <col min="6402" max="6402" width="21" style="27" customWidth="1"/>
    <col min="6403" max="6403" width="8.3515625" style="27" bestFit="1" customWidth="1"/>
    <col min="6404" max="6404" width="9.3515625" style="27" bestFit="1" customWidth="1"/>
    <col min="6405" max="6405" width="20" style="27" bestFit="1" customWidth="1"/>
    <col min="6406" max="6406" width="13.64453125" style="27" bestFit="1" customWidth="1"/>
    <col min="6407" max="6407" width="16.17578125" style="27" bestFit="1" customWidth="1"/>
    <col min="6408" max="6408" width="12.17578125" style="27" bestFit="1" customWidth="1"/>
    <col min="6409" max="6409" width="10.64453125" style="27" bestFit="1" customWidth="1"/>
    <col min="6410" max="6410" width="12.8203125" style="27" bestFit="1" customWidth="1"/>
    <col min="6411" max="6411" width="10.64453125" style="27" bestFit="1" customWidth="1"/>
    <col min="6412" max="6412" width="12.8203125" style="27" bestFit="1" customWidth="1"/>
    <col min="6413" max="6413" width="8.8203125" style="27" bestFit="1" customWidth="1"/>
    <col min="6414" max="6654" width="8.8203125" style="27"/>
    <col min="6655" max="6655" width="29.46875" style="27" customWidth="1"/>
    <col min="6656" max="6656" width="22.8203125" style="27" customWidth="1"/>
    <col min="6657" max="6657" width="14.3515625" style="27" customWidth="1"/>
    <col min="6658" max="6658" width="21" style="27" customWidth="1"/>
    <col min="6659" max="6659" width="8.3515625" style="27" bestFit="1" customWidth="1"/>
    <col min="6660" max="6660" width="9.3515625" style="27" bestFit="1" customWidth="1"/>
    <col min="6661" max="6661" width="20" style="27" bestFit="1" customWidth="1"/>
    <col min="6662" max="6662" width="13.64453125" style="27" bestFit="1" customWidth="1"/>
    <col min="6663" max="6663" width="16.17578125" style="27" bestFit="1" customWidth="1"/>
    <col min="6664" max="6664" width="12.17578125" style="27" bestFit="1" customWidth="1"/>
    <col min="6665" max="6665" width="10.64453125" style="27" bestFit="1" customWidth="1"/>
    <col min="6666" max="6666" width="12.8203125" style="27" bestFit="1" customWidth="1"/>
    <col min="6667" max="6667" width="10.64453125" style="27" bestFit="1" customWidth="1"/>
    <col min="6668" max="6668" width="12.8203125" style="27" bestFit="1" customWidth="1"/>
    <col min="6669" max="6669" width="8.8203125" style="27" bestFit="1" customWidth="1"/>
    <col min="6670" max="6910" width="8.8203125" style="27"/>
    <col min="6911" max="6911" width="29.46875" style="27" customWidth="1"/>
    <col min="6912" max="6912" width="22.8203125" style="27" customWidth="1"/>
    <col min="6913" max="6913" width="14.3515625" style="27" customWidth="1"/>
    <col min="6914" max="6914" width="21" style="27" customWidth="1"/>
    <col min="6915" max="6915" width="8.3515625" style="27" bestFit="1" customWidth="1"/>
    <col min="6916" max="6916" width="9.3515625" style="27" bestFit="1" customWidth="1"/>
    <col min="6917" max="6917" width="20" style="27" bestFit="1" customWidth="1"/>
    <col min="6918" max="6918" width="13.64453125" style="27" bestFit="1" customWidth="1"/>
    <col min="6919" max="6919" width="16.17578125" style="27" bestFit="1" customWidth="1"/>
    <col min="6920" max="6920" width="12.17578125" style="27" bestFit="1" customWidth="1"/>
    <col min="6921" max="6921" width="10.64453125" style="27" bestFit="1" customWidth="1"/>
    <col min="6922" max="6922" width="12.8203125" style="27" bestFit="1" customWidth="1"/>
    <col min="6923" max="6923" width="10.64453125" style="27" bestFit="1" customWidth="1"/>
    <col min="6924" max="6924" width="12.8203125" style="27" bestFit="1" customWidth="1"/>
    <col min="6925" max="6925" width="8.8203125" style="27" bestFit="1" customWidth="1"/>
    <col min="6926" max="7166" width="8.8203125" style="27"/>
    <col min="7167" max="7167" width="29.46875" style="27" customWidth="1"/>
    <col min="7168" max="7168" width="22.8203125" style="27" customWidth="1"/>
    <col min="7169" max="7169" width="14.3515625" style="27" customWidth="1"/>
    <col min="7170" max="7170" width="21" style="27" customWidth="1"/>
    <col min="7171" max="7171" width="8.3515625" style="27" bestFit="1" customWidth="1"/>
    <col min="7172" max="7172" width="9.3515625" style="27" bestFit="1" customWidth="1"/>
    <col min="7173" max="7173" width="20" style="27" bestFit="1" customWidth="1"/>
    <col min="7174" max="7174" width="13.64453125" style="27" bestFit="1" customWidth="1"/>
    <col min="7175" max="7175" width="16.17578125" style="27" bestFit="1" customWidth="1"/>
    <col min="7176" max="7176" width="12.17578125" style="27" bestFit="1" customWidth="1"/>
    <col min="7177" max="7177" width="10.64453125" style="27" bestFit="1" customWidth="1"/>
    <col min="7178" max="7178" width="12.8203125" style="27" bestFit="1" customWidth="1"/>
    <col min="7179" max="7179" width="10.64453125" style="27" bestFit="1" customWidth="1"/>
    <col min="7180" max="7180" width="12.8203125" style="27" bestFit="1" customWidth="1"/>
    <col min="7181" max="7181" width="8.8203125" style="27" bestFit="1" customWidth="1"/>
    <col min="7182" max="7422" width="8.8203125" style="27"/>
    <col min="7423" max="7423" width="29.46875" style="27" customWidth="1"/>
    <col min="7424" max="7424" width="22.8203125" style="27" customWidth="1"/>
    <col min="7425" max="7425" width="14.3515625" style="27" customWidth="1"/>
    <col min="7426" max="7426" width="21" style="27" customWidth="1"/>
    <col min="7427" max="7427" width="8.3515625" style="27" bestFit="1" customWidth="1"/>
    <col min="7428" max="7428" width="9.3515625" style="27" bestFit="1" customWidth="1"/>
    <col min="7429" max="7429" width="20" style="27" bestFit="1" customWidth="1"/>
    <col min="7430" max="7430" width="13.64453125" style="27" bestFit="1" customWidth="1"/>
    <col min="7431" max="7431" width="16.17578125" style="27" bestFit="1" customWidth="1"/>
    <col min="7432" max="7432" width="12.17578125" style="27" bestFit="1" customWidth="1"/>
    <col min="7433" max="7433" width="10.64453125" style="27" bestFit="1" customWidth="1"/>
    <col min="7434" max="7434" width="12.8203125" style="27" bestFit="1" customWidth="1"/>
    <col min="7435" max="7435" width="10.64453125" style="27" bestFit="1" customWidth="1"/>
    <col min="7436" max="7436" width="12.8203125" style="27" bestFit="1" customWidth="1"/>
    <col min="7437" max="7437" width="8.8203125" style="27" bestFit="1" customWidth="1"/>
    <col min="7438" max="7678" width="8.8203125" style="27"/>
    <col min="7679" max="7679" width="29.46875" style="27" customWidth="1"/>
    <col min="7680" max="7680" width="22.8203125" style="27" customWidth="1"/>
    <col min="7681" max="7681" width="14.3515625" style="27" customWidth="1"/>
    <col min="7682" max="7682" width="21" style="27" customWidth="1"/>
    <col min="7683" max="7683" width="8.3515625" style="27" bestFit="1" customWidth="1"/>
    <col min="7684" max="7684" width="9.3515625" style="27" bestFit="1" customWidth="1"/>
    <col min="7685" max="7685" width="20" style="27" bestFit="1" customWidth="1"/>
    <col min="7686" max="7686" width="13.64453125" style="27" bestFit="1" customWidth="1"/>
    <col min="7687" max="7687" width="16.17578125" style="27" bestFit="1" customWidth="1"/>
    <col min="7688" max="7688" width="12.17578125" style="27" bestFit="1" customWidth="1"/>
    <col min="7689" max="7689" width="10.64453125" style="27" bestFit="1" customWidth="1"/>
    <col min="7690" max="7690" width="12.8203125" style="27" bestFit="1" customWidth="1"/>
    <col min="7691" max="7691" width="10.64453125" style="27" bestFit="1" customWidth="1"/>
    <col min="7692" max="7692" width="12.8203125" style="27" bestFit="1" customWidth="1"/>
    <col min="7693" max="7693" width="8.8203125" style="27" bestFit="1" customWidth="1"/>
    <col min="7694" max="7934" width="8.8203125" style="27"/>
    <col min="7935" max="7935" width="29.46875" style="27" customWidth="1"/>
    <col min="7936" max="7936" width="22.8203125" style="27" customWidth="1"/>
    <col min="7937" max="7937" width="14.3515625" style="27" customWidth="1"/>
    <col min="7938" max="7938" width="21" style="27" customWidth="1"/>
    <col min="7939" max="7939" width="8.3515625" style="27" bestFit="1" customWidth="1"/>
    <col min="7940" max="7940" width="9.3515625" style="27" bestFit="1" customWidth="1"/>
    <col min="7941" max="7941" width="20" style="27" bestFit="1" customWidth="1"/>
    <col min="7942" max="7942" width="13.64453125" style="27" bestFit="1" customWidth="1"/>
    <col min="7943" max="7943" width="16.17578125" style="27" bestFit="1" customWidth="1"/>
    <col min="7944" max="7944" width="12.17578125" style="27" bestFit="1" customWidth="1"/>
    <col min="7945" max="7945" width="10.64453125" style="27" bestFit="1" customWidth="1"/>
    <col min="7946" max="7946" width="12.8203125" style="27" bestFit="1" customWidth="1"/>
    <col min="7947" max="7947" width="10.64453125" style="27" bestFit="1" customWidth="1"/>
    <col min="7948" max="7948" width="12.8203125" style="27" bestFit="1" customWidth="1"/>
    <col min="7949" max="7949" width="8.8203125" style="27" bestFit="1" customWidth="1"/>
    <col min="7950" max="8190" width="8.8203125" style="27"/>
    <col min="8191" max="8191" width="29.46875" style="27" customWidth="1"/>
    <col min="8192" max="8192" width="22.8203125" style="27" customWidth="1"/>
    <col min="8193" max="8193" width="14.3515625" style="27" customWidth="1"/>
    <col min="8194" max="8194" width="21" style="27" customWidth="1"/>
    <col min="8195" max="8195" width="8.3515625" style="27" bestFit="1" customWidth="1"/>
    <col min="8196" max="8196" width="9.3515625" style="27" bestFit="1" customWidth="1"/>
    <col min="8197" max="8197" width="20" style="27" bestFit="1" customWidth="1"/>
    <col min="8198" max="8198" width="13.64453125" style="27" bestFit="1" customWidth="1"/>
    <col min="8199" max="8199" width="16.17578125" style="27" bestFit="1" customWidth="1"/>
    <col min="8200" max="8200" width="12.17578125" style="27" bestFit="1" customWidth="1"/>
    <col min="8201" max="8201" width="10.64453125" style="27" bestFit="1" customWidth="1"/>
    <col min="8202" max="8202" width="12.8203125" style="27" bestFit="1" customWidth="1"/>
    <col min="8203" max="8203" width="10.64453125" style="27" bestFit="1" customWidth="1"/>
    <col min="8204" max="8204" width="12.8203125" style="27" bestFit="1" customWidth="1"/>
    <col min="8205" max="8205" width="8.8203125" style="27" bestFit="1" customWidth="1"/>
    <col min="8206" max="8446" width="8.8203125" style="27"/>
    <col min="8447" max="8447" width="29.46875" style="27" customWidth="1"/>
    <col min="8448" max="8448" width="22.8203125" style="27" customWidth="1"/>
    <col min="8449" max="8449" width="14.3515625" style="27" customWidth="1"/>
    <col min="8450" max="8450" width="21" style="27" customWidth="1"/>
    <col min="8451" max="8451" width="8.3515625" style="27" bestFit="1" customWidth="1"/>
    <col min="8452" max="8452" width="9.3515625" style="27" bestFit="1" customWidth="1"/>
    <col min="8453" max="8453" width="20" style="27" bestFit="1" customWidth="1"/>
    <col min="8454" max="8454" width="13.64453125" style="27" bestFit="1" customWidth="1"/>
    <col min="8455" max="8455" width="16.17578125" style="27" bestFit="1" customWidth="1"/>
    <col min="8456" max="8456" width="12.17578125" style="27" bestFit="1" customWidth="1"/>
    <col min="8457" max="8457" width="10.64453125" style="27" bestFit="1" customWidth="1"/>
    <col min="8458" max="8458" width="12.8203125" style="27" bestFit="1" customWidth="1"/>
    <col min="8459" max="8459" width="10.64453125" style="27" bestFit="1" customWidth="1"/>
    <col min="8460" max="8460" width="12.8203125" style="27" bestFit="1" customWidth="1"/>
    <col min="8461" max="8461" width="8.8203125" style="27" bestFit="1" customWidth="1"/>
    <col min="8462" max="8702" width="8.8203125" style="27"/>
    <col min="8703" max="8703" width="29.46875" style="27" customWidth="1"/>
    <col min="8704" max="8704" width="22.8203125" style="27" customWidth="1"/>
    <col min="8705" max="8705" width="14.3515625" style="27" customWidth="1"/>
    <col min="8706" max="8706" width="21" style="27" customWidth="1"/>
    <col min="8707" max="8707" width="8.3515625" style="27" bestFit="1" customWidth="1"/>
    <col min="8708" max="8708" width="9.3515625" style="27" bestFit="1" customWidth="1"/>
    <col min="8709" max="8709" width="20" style="27" bestFit="1" customWidth="1"/>
    <col min="8710" max="8710" width="13.64453125" style="27" bestFit="1" customWidth="1"/>
    <col min="8711" max="8711" width="16.17578125" style="27" bestFit="1" customWidth="1"/>
    <col min="8712" max="8712" width="12.17578125" style="27" bestFit="1" customWidth="1"/>
    <col min="8713" max="8713" width="10.64453125" style="27" bestFit="1" customWidth="1"/>
    <col min="8714" max="8714" width="12.8203125" style="27" bestFit="1" customWidth="1"/>
    <col min="8715" max="8715" width="10.64453125" style="27" bestFit="1" customWidth="1"/>
    <col min="8716" max="8716" width="12.8203125" style="27" bestFit="1" customWidth="1"/>
    <col min="8717" max="8717" width="8.8203125" style="27" bestFit="1" customWidth="1"/>
    <col min="8718" max="8958" width="8.8203125" style="27"/>
    <col min="8959" max="8959" width="29.46875" style="27" customWidth="1"/>
    <col min="8960" max="8960" width="22.8203125" style="27" customWidth="1"/>
    <col min="8961" max="8961" width="14.3515625" style="27" customWidth="1"/>
    <col min="8962" max="8962" width="21" style="27" customWidth="1"/>
    <col min="8963" max="8963" width="8.3515625" style="27" bestFit="1" customWidth="1"/>
    <col min="8964" max="8964" width="9.3515625" style="27" bestFit="1" customWidth="1"/>
    <col min="8965" max="8965" width="20" style="27" bestFit="1" customWidth="1"/>
    <col min="8966" max="8966" width="13.64453125" style="27" bestFit="1" customWidth="1"/>
    <col min="8967" max="8967" width="16.17578125" style="27" bestFit="1" customWidth="1"/>
    <col min="8968" max="8968" width="12.17578125" style="27" bestFit="1" customWidth="1"/>
    <col min="8969" max="8969" width="10.64453125" style="27" bestFit="1" customWidth="1"/>
    <col min="8970" max="8970" width="12.8203125" style="27" bestFit="1" customWidth="1"/>
    <col min="8971" max="8971" width="10.64453125" style="27" bestFit="1" customWidth="1"/>
    <col min="8972" max="8972" width="12.8203125" style="27" bestFit="1" customWidth="1"/>
    <col min="8973" max="8973" width="8.8203125" style="27" bestFit="1" customWidth="1"/>
    <col min="8974" max="9214" width="8.8203125" style="27"/>
    <col min="9215" max="9215" width="29.46875" style="27" customWidth="1"/>
    <col min="9216" max="9216" width="22.8203125" style="27" customWidth="1"/>
    <col min="9217" max="9217" width="14.3515625" style="27" customWidth="1"/>
    <col min="9218" max="9218" width="21" style="27" customWidth="1"/>
    <col min="9219" max="9219" width="8.3515625" style="27" bestFit="1" customWidth="1"/>
    <col min="9220" max="9220" width="9.3515625" style="27" bestFit="1" customWidth="1"/>
    <col min="9221" max="9221" width="20" style="27" bestFit="1" customWidth="1"/>
    <col min="9222" max="9222" width="13.64453125" style="27" bestFit="1" customWidth="1"/>
    <col min="9223" max="9223" width="16.17578125" style="27" bestFit="1" customWidth="1"/>
    <col min="9224" max="9224" width="12.17578125" style="27" bestFit="1" customWidth="1"/>
    <col min="9225" max="9225" width="10.64453125" style="27" bestFit="1" customWidth="1"/>
    <col min="9226" max="9226" width="12.8203125" style="27" bestFit="1" customWidth="1"/>
    <col min="9227" max="9227" width="10.64453125" style="27" bestFit="1" customWidth="1"/>
    <col min="9228" max="9228" width="12.8203125" style="27" bestFit="1" customWidth="1"/>
    <col min="9229" max="9229" width="8.8203125" style="27" bestFit="1" customWidth="1"/>
    <col min="9230" max="9470" width="8.8203125" style="27"/>
    <col min="9471" max="9471" width="29.46875" style="27" customWidth="1"/>
    <col min="9472" max="9472" width="22.8203125" style="27" customWidth="1"/>
    <col min="9473" max="9473" width="14.3515625" style="27" customWidth="1"/>
    <col min="9474" max="9474" width="21" style="27" customWidth="1"/>
    <col min="9475" max="9475" width="8.3515625" style="27" bestFit="1" customWidth="1"/>
    <col min="9476" max="9476" width="9.3515625" style="27" bestFit="1" customWidth="1"/>
    <col min="9477" max="9477" width="20" style="27" bestFit="1" customWidth="1"/>
    <col min="9478" max="9478" width="13.64453125" style="27" bestFit="1" customWidth="1"/>
    <col min="9479" max="9479" width="16.17578125" style="27" bestFit="1" customWidth="1"/>
    <col min="9480" max="9480" width="12.17578125" style="27" bestFit="1" customWidth="1"/>
    <col min="9481" max="9481" width="10.64453125" style="27" bestFit="1" customWidth="1"/>
    <col min="9482" max="9482" width="12.8203125" style="27" bestFit="1" customWidth="1"/>
    <col min="9483" max="9483" width="10.64453125" style="27" bestFit="1" customWidth="1"/>
    <col min="9484" max="9484" width="12.8203125" style="27" bestFit="1" customWidth="1"/>
    <col min="9485" max="9485" width="8.8203125" style="27" bestFit="1" customWidth="1"/>
    <col min="9486" max="9726" width="8.8203125" style="27"/>
    <col min="9727" max="9727" width="29.46875" style="27" customWidth="1"/>
    <col min="9728" max="9728" width="22.8203125" style="27" customWidth="1"/>
    <col min="9729" max="9729" width="14.3515625" style="27" customWidth="1"/>
    <col min="9730" max="9730" width="21" style="27" customWidth="1"/>
    <col min="9731" max="9731" width="8.3515625" style="27" bestFit="1" customWidth="1"/>
    <col min="9732" max="9732" width="9.3515625" style="27" bestFit="1" customWidth="1"/>
    <col min="9733" max="9733" width="20" style="27" bestFit="1" customWidth="1"/>
    <col min="9734" max="9734" width="13.64453125" style="27" bestFit="1" customWidth="1"/>
    <col min="9735" max="9735" width="16.17578125" style="27" bestFit="1" customWidth="1"/>
    <col min="9736" max="9736" width="12.17578125" style="27" bestFit="1" customWidth="1"/>
    <col min="9737" max="9737" width="10.64453125" style="27" bestFit="1" customWidth="1"/>
    <col min="9738" max="9738" width="12.8203125" style="27" bestFit="1" customWidth="1"/>
    <col min="9739" max="9739" width="10.64453125" style="27" bestFit="1" customWidth="1"/>
    <col min="9740" max="9740" width="12.8203125" style="27" bestFit="1" customWidth="1"/>
    <col min="9741" max="9741" width="8.8203125" style="27" bestFit="1" customWidth="1"/>
    <col min="9742" max="9982" width="8.8203125" style="27"/>
    <col min="9983" max="9983" width="29.46875" style="27" customWidth="1"/>
    <col min="9984" max="9984" width="22.8203125" style="27" customWidth="1"/>
    <col min="9985" max="9985" width="14.3515625" style="27" customWidth="1"/>
    <col min="9986" max="9986" width="21" style="27" customWidth="1"/>
    <col min="9987" max="9987" width="8.3515625" style="27" bestFit="1" customWidth="1"/>
    <col min="9988" max="9988" width="9.3515625" style="27" bestFit="1" customWidth="1"/>
    <col min="9989" max="9989" width="20" style="27" bestFit="1" customWidth="1"/>
    <col min="9990" max="9990" width="13.64453125" style="27" bestFit="1" customWidth="1"/>
    <col min="9991" max="9991" width="16.17578125" style="27" bestFit="1" customWidth="1"/>
    <col min="9992" max="9992" width="12.17578125" style="27" bestFit="1" customWidth="1"/>
    <col min="9993" max="9993" width="10.64453125" style="27" bestFit="1" customWidth="1"/>
    <col min="9994" max="9994" width="12.8203125" style="27" bestFit="1" customWidth="1"/>
    <col min="9995" max="9995" width="10.64453125" style="27" bestFit="1" customWidth="1"/>
    <col min="9996" max="9996" width="12.8203125" style="27" bestFit="1" customWidth="1"/>
    <col min="9997" max="9997" width="8.8203125" style="27" bestFit="1" customWidth="1"/>
    <col min="9998" max="10238" width="8.8203125" style="27"/>
    <col min="10239" max="10239" width="29.46875" style="27" customWidth="1"/>
    <col min="10240" max="10240" width="22.8203125" style="27" customWidth="1"/>
    <col min="10241" max="10241" width="14.3515625" style="27" customWidth="1"/>
    <col min="10242" max="10242" width="21" style="27" customWidth="1"/>
    <col min="10243" max="10243" width="8.3515625" style="27" bestFit="1" customWidth="1"/>
    <col min="10244" max="10244" width="9.3515625" style="27" bestFit="1" customWidth="1"/>
    <col min="10245" max="10245" width="20" style="27" bestFit="1" customWidth="1"/>
    <col min="10246" max="10246" width="13.64453125" style="27" bestFit="1" customWidth="1"/>
    <col min="10247" max="10247" width="16.17578125" style="27" bestFit="1" customWidth="1"/>
    <col min="10248" max="10248" width="12.17578125" style="27" bestFit="1" customWidth="1"/>
    <col min="10249" max="10249" width="10.64453125" style="27" bestFit="1" customWidth="1"/>
    <col min="10250" max="10250" width="12.8203125" style="27" bestFit="1" customWidth="1"/>
    <col min="10251" max="10251" width="10.64453125" style="27" bestFit="1" customWidth="1"/>
    <col min="10252" max="10252" width="12.8203125" style="27" bestFit="1" customWidth="1"/>
    <col min="10253" max="10253" width="8.8203125" style="27" bestFit="1" customWidth="1"/>
    <col min="10254" max="10494" width="8.8203125" style="27"/>
    <col min="10495" max="10495" width="29.46875" style="27" customWidth="1"/>
    <col min="10496" max="10496" width="22.8203125" style="27" customWidth="1"/>
    <col min="10497" max="10497" width="14.3515625" style="27" customWidth="1"/>
    <col min="10498" max="10498" width="21" style="27" customWidth="1"/>
    <col min="10499" max="10499" width="8.3515625" style="27" bestFit="1" customWidth="1"/>
    <col min="10500" max="10500" width="9.3515625" style="27" bestFit="1" customWidth="1"/>
    <col min="10501" max="10501" width="20" style="27" bestFit="1" customWidth="1"/>
    <col min="10502" max="10502" width="13.64453125" style="27" bestFit="1" customWidth="1"/>
    <col min="10503" max="10503" width="16.17578125" style="27" bestFit="1" customWidth="1"/>
    <col min="10504" max="10504" width="12.17578125" style="27" bestFit="1" customWidth="1"/>
    <col min="10505" max="10505" width="10.64453125" style="27" bestFit="1" customWidth="1"/>
    <col min="10506" max="10506" width="12.8203125" style="27" bestFit="1" customWidth="1"/>
    <col min="10507" max="10507" width="10.64453125" style="27" bestFit="1" customWidth="1"/>
    <col min="10508" max="10508" width="12.8203125" style="27" bestFit="1" customWidth="1"/>
    <col min="10509" max="10509" width="8.8203125" style="27" bestFit="1" customWidth="1"/>
    <col min="10510" max="10750" width="8.8203125" style="27"/>
    <col min="10751" max="10751" width="29.46875" style="27" customWidth="1"/>
    <col min="10752" max="10752" width="22.8203125" style="27" customWidth="1"/>
    <col min="10753" max="10753" width="14.3515625" style="27" customWidth="1"/>
    <col min="10754" max="10754" width="21" style="27" customWidth="1"/>
    <col min="10755" max="10755" width="8.3515625" style="27" bestFit="1" customWidth="1"/>
    <col min="10756" max="10756" width="9.3515625" style="27" bestFit="1" customWidth="1"/>
    <col min="10757" max="10757" width="20" style="27" bestFit="1" customWidth="1"/>
    <col min="10758" max="10758" width="13.64453125" style="27" bestFit="1" customWidth="1"/>
    <col min="10759" max="10759" width="16.17578125" style="27" bestFit="1" customWidth="1"/>
    <col min="10760" max="10760" width="12.17578125" style="27" bestFit="1" customWidth="1"/>
    <col min="10761" max="10761" width="10.64453125" style="27" bestFit="1" customWidth="1"/>
    <col min="10762" max="10762" width="12.8203125" style="27" bestFit="1" customWidth="1"/>
    <col min="10763" max="10763" width="10.64453125" style="27" bestFit="1" customWidth="1"/>
    <col min="10764" max="10764" width="12.8203125" style="27" bestFit="1" customWidth="1"/>
    <col min="10765" max="10765" width="8.8203125" style="27" bestFit="1" customWidth="1"/>
    <col min="10766" max="11006" width="8.8203125" style="27"/>
    <col min="11007" max="11007" width="29.46875" style="27" customWidth="1"/>
    <col min="11008" max="11008" width="22.8203125" style="27" customWidth="1"/>
    <col min="11009" max="11009" width="14.3515625" style="27" customWidth="1"/>
    <col min="11010" max="11010" width="21" style="27" customWidth="1"/>
    <col min="11011" max="11011" width="8.3515625" style="27" bestFit="1" customWidth="1"/>
    <col min="11012" max="11012" width="9.3515625" style="27" bestFit="1" customWidth="1"/>
    <col min="11013" max="11013" width="20" style="27" bestFit="1" customWidth="1"/>
    <col min="11014" max="11014" width="13.64453125" style="27" bestFit="1" customWidth="1"/>
    <col min="11015" max="11015" width="16.17578125" style="27" bestFit="1" customWidth="1"/>
    <col min="11016" max="11016" width="12.17578125" style="27" bestFit="1" customWidth="1"/>
    <col min="11017" max="11017" width="10.64453125" style="27" bestFit="1" customWidth="1"/>
    <col min="11018" max="11018" width="12.8203125" style="27" bestFit="1" customWidth="1"/>
    <col min="11019" max="11019" width="10.64453125" style="27" bestFit="1" customWidth="1"/>
    <col min="11020" max="11020" width="12.8203125" style="27" bestFit="1" customWidth="1"/>
    <col min="11021" max="11021" width="8.8203125" style="27" bestFit="1" customWidth="1"/>
    <col min="11022" max="11262" width="8.8203125" style="27"/>
    <col min="11263" max="11263" width="29.46875" style="27" customWidth="1"/>
    <col min="11264" max="11264" width="22.8203125" style="27" customWidth="1"/>
    <col min="11265" max="11265" width="14.3515625" style="27" customWidth="1"/>
    <col min="11266" max="11266" width="21" style="27" customWidth="1"/>
    <col min="11267" max="11267" width="8.3515625" style="27" bestFit="1" customWidth="1"/>
    <col min="11268" max="11268" width="9.3515625" style="27" bestFit="1" customWidth="1"/>
    <col min="11269" max="11269" width="20" style="27" bestFit="1" customWidth="1"/>
    <col min="11270" max="11270" width="13.64453125" style="27" bestFit="1" customWidth="1"/>
    <col min="11271" max="11271" width="16.17578125" style="27" bestFit="1" customWidth="1"/>
    <col min="11272" max="11272" width="12.17578125" style="27" bestFit="1" customWidth="1"/>
    <col min="11273" max="11273" width="10.64453125" style="27" bestFit="1" customWidth="1"/>
    <col min="11274" max="11274" width="12.8203125" style="27" bestFit="1" customWidth="1"/>
    <col min="11275" max="11275" width="10.64453125" style="27" bestFit="1" customWidth="1"/>
    <col min="11276" max="11276" width="12.8203125" style="27" bestFit="1" customWidth="1"/>
    <col min="11277" max="11277" width="8.8203125" style="27" bestFit="1" customWidth="1"/>
    <col min="11278" max="11518" width="8.8203125" style="27"/>
    <col min="11519" max="11519" width="29.46875" style="27" customWidth="1"/>
    <col min="11520" max="11520" width="22.8203125" style="27" customWidth="1"/>
    <col min="11521" max="11521" width="14.3515625" style="27" customWidth="1"/>
    <col min="11522" max="11522" width="21" style="27" customWidth="1"/>
    <col min="11523" max="11523" width="8.3515625" style="27" bestFit="1" customWidth="1"/>
    <col min="11524" max="11524" width="9.3515625" style="27" bestFit="1" customWidth="1"/>
    <col min="11525" max="11525" width="20" style="27" bestFit="1" customWidth="1"/>
    <col min="11526" max="11526" width="13.64453125" style="27" bestFit="1" customWidth="1"/>
    <col min="11527" max="11527" width="16.17578125" style="27" bestFit="1" customWidth="1"/>
    <col min="11528" max="11528" width="12.17578125" style="27" bestFit="1" customWidth="1"/>
    <col min="11529" max="11529" width="10.64453125" style="27" bestFit="1" customWidth="1"/>
    <col min="11530" max="11530" width="12.8203125" style="27" bestFit="1" customWidth="1"/>
    <col min="11531" max="11531" width="10.64453125" style="27" bestFit="1" customWidth="1"/>
    <col min="11532" max="11532" width="12.8203125" style="27" bestFit="1" customWidth="1"/>
    <col min="11533" max="11533" width="8.8203125" style="27" bestFit="1" customWidth="1"/>
    <col min="11534" max="11774" width="8.8203125" style="27"/>
    <col min="11775" max="11775" width="29.46875" style="27" customWidth="1"/>
    <col min="11776" max="11776" width="22.8203125" style="27" customWidth="1"/>
    <col min="11777" max="11777" width="14.3515625" style="27" customWidth="1"/>
    <col min="11778" max="11778" width="21" style="27" customWidth="1"/>
    <col min="11779" max="11779" width="8.3515625" style="27" bestFit="1" customWidth="1"/>
    <col min="11780" max="11780" width="9.3515625" style="27" bestFit="1" customWidth="1"/>
    <col min="11781" max="11781" width="20" style="27" bestFit="1" customWidth="1"/>
    <col min="11782" max="11782" width="13.64453125" style="27" bestFit="1" customWidth="1"/>
    <col min="11783" max="11783" width="16.17578125" style="27" bestFit="1" customWidth="1"/>
    <col min="11784" max="11784" width="12.17578125" style="27" bestFit="1" customWidth="1"/>
    <col min="11785" max="11785" width="10.64453125" style="27" bestFit="1" customWidth="1"/>
    <col min="11786" max="11786" width="12.8203125" style="27" bestFit="1" customWidth="1"/>
    <col min="11787" max="11787" width="10.64453125" style="27" bestFit="1" customWidth="1"/>
    <col min="11788" max="11788" width="12.8203125" style="27" bestFit="1" customWidth="1"/>
    <col min="11789" max="11789" width="8.8203125" style="27" bestFit="1" customWidth="1"/>
    <col min="11790" max="12030" width="8.8203125" style="27"/>
    <col min="12031" max="12031" width="29.46875" style="27" customWidth="1"/>
    <col min="12032" max="12032" width="22.8203125" style="27" customWidth="1"/>
    <col min="12033" max="12033" width="14.3515625" style="27" customWidth="1"/>
    <col min="12034" max="12034" width="21" style="27" customWidth="1"/>
    <col min="12035" max="12035" width="8.3515625" style="27" bestFit="1" customWidth="1"/>
    <col min="12036" max="12036" width="9.3515625" style="27" bestFit="1" customWidth="1"/>
    <col min="12037" max="12037" width="20" style="27" bestFit="1" customWidth="1"/>
    <col min="12038" max="12038" width="13.64453125" style="27" bestFit="1" customWidth="1"/>
    <col min="12039" max="12039" width="16.17578125" style="27" bestFit="1" customWidth="1"/>
    <col min="12040" max="12040" width="12.17578125" style="27" bestFit="1" customWidth="1"/>
    <col min="12041" max="12041" width="10.64453125" style="27" bestFit="1" customWidth="1"/>
    <col min="12042" max="12042" width="12.8203125" style="27" bestFit="1" customWidth="1"/>
    <col min="12043" max="12043" width="10.64453125" style="27" bestFit="1" customWidth="1"/>
    <col min="12044" max="12044" width="12.8203125" style="27" bestFit="1" customWidth="1"/>
    <col min="12045" max="12045" width="8.8203125" style="27" bestFit="1" customWidth="1"/>
    <col min="12046" max="12286" width="8.8203125" style="27"/>
    <col min="12287" max="12287" width="29.46875" style="27" customWidth="1"/>
    <col min="12288" max="12288" width="22.8203125" style="27" customWidth="1"/>
    <col min="12289" max="12289" width="14.3515625" style="27" customWidth="1"/>
    <col min="12290" max="12290" width="21" style="27" customWidth="1"/>
    <col min="12291" max="12291" width="8.3515625" style="27" bestFit="1" customWidth="1"/>
    <col min="12292" max="12292" width="9.3515625" style="27" bestFit="1" customWidth="1"/>
    <col min="12293" max="12293" width="20" style="27" bestFit="1" customWidth="1"/>
    <col min="12294" max="12294" width="13.64453125" style="27" bestFit="1" customWidth="1"/>
    <col min="12295" max="12295" width="16.17578125" style="27" bestFit="1" customWidth="1"/>
    <col min="12296" max="12296" width="12.17578125" style="27" bestFit="1" customWidth="1"/>
    <col min="12297" max="12297" width="10.64453125" style="27" bestFit="1" customWidth="1"/>
    <col min="12298" max="12298" width="12.8203125" style="27" bestFit="1" customWidth="1"/>
    <col min="12299" max="12299" width="10.64453125" style="27" bestFit="1" customWidth="1"/>
    <col min="12300" max="12300" width="12.8203125" style="27" bestFit="1" customWidth="1"/>
    <col min="12301" max="12301" width="8.8203125" style="27" bestFit="1" customWidth="1"/>
    <col min="12302" max="12542" width="8.8203125" style="27"/>
    <col min="12543" max="12543" width="29.46875" style="27" customWidth="1"/>
    <col min="12544" max="12544" width="22.8203125" style="27" customWidth="1"/>
    <col min="12545" max="12545" width="14.3515625" style="27" customWidth="1"/>
    <col min="12546" max="12546" width="21" style="27" customWidth="1"/>
    <col min="12547" max="12547" width="8.3515625" style="27" bestFit="1" customWidth="1"/>
    <col min="12548" max="12548" width="9.3515625" style="27" bestFit="1" customWidth="1"/>
    <col min="12549" max="12549" width="20" style="27" bestFit="1" customWidth="1"/>
    <col min="12550" max="12550" width="13.64453125" style="27" bestFit="1" customWidth="1"/>
    <col min="12551" max="12551" width="16.17578125" style="27" bestFit="1" customWidth="1"/>
    <col min="12552" max="12552" width="12.17578125" style="27" bestFit="1" customWidth="1"/>
    <col min="12553" max="12553" width="10.64453125" style="27" bestFit="1" customWidth="1"/>
    <col min="12554" max="12554" width="12.8203125" style="27" bestFit="1" customWidth="1"/>
    <col min="12555" max="12555" width="10.64453125" style="27" bestFit="1" customWidth="1"/>
    <col min="12556" max="12556" width="12.8203125" style="27" bestFit="1" customWidth="1"/>
    <col min="12557" max="12557" width="8.8203125" style="27" bestFit="1" customWidth="1"/>
    <col min="12558" max="12798" width="8.8203125" style="27"/>
    <col min="12799" max="12799" width="29.46875" style="27" customWidth="1"/>
    <col min="12800" max="12800" width="22.8203125" style="27" customWidth="1"/>
    <col min="12801" max="12801" width="14.3515625" style="27" customWidth="1"/>
    <col min="12802" max="12802" width="21" style="27" customWidth="1"/>
    <col min="12803" max="12803" width="8.3515625" style="27" bestFit="1" customWidth="1"/>
    <col min="12804" max="12804" width="9.3515625" style="27" bestFit="1" customWidth="1"/>
    <col min="12805" max="12805" width="20" style="27" bestFit="1" customWidth="1"/>
    <col min="12806" max="12806" width="13.64453125" style="27" bestFit="1" customWidth="1"/>
    <col min="12807" max="12807" width="16.17578125" style="27" bestFit="1" customWidth="1"/>
    <col min="12808" max="12808" width="12.17578125" style="27" bestFit="1" customWidth="1"/>
    <col min="12809" max="12809" width="10.64453125" style="27" bestFit="1" customWidth="1"/>
    <col min="12810" max="12810" width="12.8203125" style="27" bestFit="1" customWidth="1"/>
    <col min="12811" max="12811" width="10.64453125" style="27" bestFit="1" customWidth="1"/>
    <col min="12812" max="12812" width="12.8203125" style="27" bestFit="1" customWidth="1"/>
    <col min="12813" max="12813" width="8.8203125" style="27" bestFit="1" customWidth="1"/>
    <col min="12814" max="13054" width="8.8203125" style="27"/>
    <col min="13055" max="13055" width="29.46875" style="27" customWidth="1"/>
    <col min="13056" max="13056" width="22.8203125" style="27" customWidth="1"/>
    <col min="13057" max="13057" width="14.3515625" style="27" customWidth="1"/>
    <col min="13058" max="13058" width="21" style="27" customWidth="1"/>
    <col min="13059" max="13059" width="8.3515625" style="27" bestFit="1" customWidth="1"/>
    <col min="13060" max="13060" width="9.3515625" style="27" bestFit="1" customWidth="1"/>
    <col min="13061" max="13061" width="20" style="27" bestFit="1" customWidth="1"/>
    <col min="13062" max="13062" width="13.64453125" style="27" bestFit="1" customWidth="1"/>
    <col min="13063" max="13063" width="16.17578125" style="27" bestFit="1" customWidth="1"/>
    <col min="13064" max="13064" width="12.17578125" style="27" bestFit="1" customWidth="1"/>
    <col min="13065" max="13065" width="10.64453125" style="27" bestFit="1" customWidth="1"/>
    <col min="13066" max="13066" width="12.8203125" style="27" bestFit="1" customWidth="1"/>
    <col min="13067" max="13067" width="10.64453125" style="27" bestFit="1" customWidth="1"/>
    <col min="13068" max="13068" width="12.8203125" style="27" bestFit="1" customWidth="1"/>
    <col min="13069" max="13069" width="8.8203125" style="27" bestFit="1" customWidth="1"/>
    <col min="13070" max="13310" width="8.8203125" style="27"/>
    <col min="13311" max="13311" width="29.46875" style="27" customWidth="1"/>
    <col min="13312" max="13312" width="22.8203125" style="27" customWidth="1"/>
    <col min="13313" max="13313" width="14.3515625" style="27" customWidth="1"/>
    <col min="13314" max="13314" width="21" style="27" customWidth="1"/>
    <col min="13315" max="13315" width="8.3515625" style="27" bestFit="1" customWidth="1"/>
    <col min="13316" max="13316" width="9.3515625" style="27" bestFit="1" customWidth="1"/>
    <col min="13317" max="13317" width="20" style="27" bestFit="1" customWidth="1"/>
    <col min="13318" max="13318" width="13.64453125" style="27" bestFit="1" customWidth="1"/>
    <col min="13319" max="13319" width="16.17578125" style="27" bestFit="1" customWidth="1"/>
    <col min="13320" max="13320" width="12.17578125" style="27" bestFit="1" customWidth="1"/>
    <col min="13321" max="13321" width="10.64453125" style="27" bestFit="1" customWidth="1"/>
    <col min="13322" max="13322" width="12.8203125" style="27" bestFit="1" customWidth="1"/>
    <col min="13323" max="13323" width="10.64453125" style="27" bestFit="1" customWidth="1"/>
    <col min="13324" max="13324" width="12.8203125" style="27" bestFit="1" customWidth="1"/>
    <col min="13325" max="13325" width="8.8203125" style="27" bestFit="1" customWidth="1"/>
    <col min="13326" max="13566" width="8.8203125" style="27"/>
    <col min="13567" max="13567" width="29.46875" style="27" customWidth="1"/>
    <col min="13568" max="13568" width="22.8203125" style="27" customWidth="1"/>
    <col min="13569" max="13569" width="14.3515625" style="27" customWidth="1"/>
    <col min="13570" max="13570" width="21" style="27" customWidth="1"/>
    <col min="13571" max="13571" width="8.3515625" style="27" bestFit="1" customWidth="1"/>
    <col min="13572" max="13572" width="9.3515625" style="27" bestFit="1" customWidth="1"/>
    <col min="13573" max="13573" width="20" style="27" bestFit="1" customWidth="1"/>
    <col min="13574" max="13574" width="13.64453125" style="27" bestFit="1" customWidth="1"/>
    <col min="13575" max="13575" width="16.17578125" style="27" bestFit="1" customWidth="1"/>
    <col min="13576" max="13576" width="12.17578125" style="27" bestFit="1" customWidth="1"/>
    <col min="13577" max="13577" width="10.64453125" style="27" bestFit="1" customWidth="1"/>
    <col min="13578" max="13578" width="12.8203125" style="27" bestFit="1" customWidth="1"/>
    <col min="13579" max="13579" width="10.64453125" style="27" bestFit="1" customWidth="1"/>
    <col min="13580" max="13580" width="12.8203125" style="27" bestFit="1" customWidth="1"/>
    <col min="13581" max="13581" width="8.8203125" style="27" bestFit="1" customWidth="1"/>
    <col min="13582" max="13822" width="8.8203125" style="27"/>
    <col min="13823" max="13823" width="29.46875" style="27" customWidth="1"/>
    <col min="13824" max="13824" width="22.8203125" style="27" customWidth="1"/>
    <col min="13825" max="13825" width="14.3515625" style="27" customWidth="1"/>
    <col min="13826" max="13826" width="21" style="27" customWidth="1"/>
    <col min="13827" max="13827" width="8.3515625" style="27" bestFit="1" customWidth="1"/>
    <col min="13828" max="13828" width="9.3515625" style="27" bestFit="1" customWidth="1"/>
    <col min="13829" max="13829" width="20" style="27" bestFit="1" customWidth="1"/>
    <col min="13830" max="13830" width="13.64453125" style="27" bestFit="1" customWidth="1"/>
    <col min="13831" max="13831" width="16.17578125" style="27" bestFit="1" customWidth="1"/>
    <col min="13832" max="13832" width="12.17578125" style="27" bestFit="1" customWidth="1"/>
    <col min="13833" max="13833" width="10.64453125" style="27" bestFit="1" customWidth="1"/>
    <col min="13834" max="13834" width="12.8203125" style="27" bestFit="1" customWidth="1"/>
    <col min="13835" max="13835" width="10.64453125" style="27" bestFit="1" customWidth="1"/>
    <col min="13836" max="13836" width="12.8203125" style="27" bestFit="1" customWidth="1"/>
    <col min="13837" max="13837" width="8.8203125" style="27" bestFit="1" customWidth="1"/>
    <col min="13838" max="14078" width="8.8203125" style="27"/>
    <col min="14079" max="14079" width="29.46875" style="27" customWidth="1"/>
    <col min="14080" max="14080" width="22.8203125" style="27" customWidth="1"/>
    <col min="14081" max="14081" width="14.3515625" style="27" customWidth="1"/>
    <col min="14082" max="14082" width="21" style="27" customWidth="1"/>
    <col min="14083" max="14083" width="8.3515625" style="27" bestFit="1" customWidth="1"/>
    <col min="14084" max="14084" width="9.3515625" style="27" bestFit="1" customWidth="1"/>
    <col min="14085" max="14085" width="20" style="27" bestFit="1" customWidth="1"/>
    <col min="14086" max="14086" width="13.64453125" style="27" bestFit="1" customWidth="1"/>
    <col min="14087" max="14087" width="16.17578125" style="27" bestFit="1" customWidth="1"/>
    <col min="14088" max="14088" width="12.17578125" style="27" bestFit="1" customWidth="1"/>
    <col min="14089" max="14089" width="10.64453125" style="27" bestFit="1" customWidth="1"/>
    <col min="14090" max="14090" width="12.8203125" style="27" bestFit="1" customWidth="1"/>
    <col min="14091" max="14091" width="10.64453125" style="27" bestFit="1" customWidth="1"/>
    <col min="14092" max="14092" width="12.8203125" style="27" bestFit="1" customWidth="1"/>
    <col min="14093" max="14093" width="8.8203125" style="27" bestFit="1" customWidth="1"/>
    <col min="14094" max="14334" width="8.8203125" style="27"/>
    <col min="14335" max="14335" width="29.46875" style="27" customWidth="1"/>
    <col min="14336" max="14336" width="22.8203125" style="27" customWidth="1"/>
    <col min="14337" max="14337" width="14.3515625" style="27" customWidth="1"/>
    <col min="14338" max="14338" width="21" style="27" customWidth="1"/>
    <col min="14339" max="14339" width="8.3515625" style="27" bestFit="1" customWidth="1"/>
    <col min="14340" max="14340" width="9.3515625" style="27" bestFit="1" customWidth="1"/>
    <col min="14341" max="14341" width="20" style="27" bestFit="1" customWidth="1"/>
    <col min="14342" max="14342" width="13.64453125" style="27" bestFit="1" customWidth="1"/>
    <col min="14343" max="14343" width="16.17578125" style="27" bestFit="1" customWidth="1"/>
    <col min="14344" max="14344" width="12.17578125" style="27" bestFit="1" customWidth="1"/>
    <col min="14345" max="14345" width="10.64453125" style="27" bestFit="1" customWidth="1"/>
    <col min="14346" max="14346" width="12.8203125" style="27" bestFit="1" customWidth="1"/>
    <col min="14347" max="14347" width="10.64453125" style="27" bestFit="1" customWidth="1"/>
    <col min="14348" max="14348" width="12.8203125" style="27" bestFit="1" customWidth="1"/>
    <col min="14349" max="14349" width="8.8203125" style="27" bestFit="1" customWidth="1"/>
    <col min="14350" max="14590" width="8.8203125" style="27"/>
    <col min="14591" max="14591" width="29.46875" style="27" customWidth="1"/>
    <col min="14592" max="14592" width="22.8203125" style="27" customWidth="1"/>
    <col min="14593" max="14593" width="14.3515625" style="27" customWidth="1"/>
    <col min="14594" max="14594" width="21" style="27" customWidth="1"/>
    <col min="14595" max="14595" width="8.3515625" style="27" bestFit="1" customWidth="1"/>
    <col min="14596" max="14596" width="9.3515625" style="27" bestFit="1" customWidth="1"/>
    <col min="14597" max="14597" width="20" style="27" bestFit="1" customWidth="1"/>
    <col min="14598" max="14598" width="13.64453125" style="27" bestFit="1" customWidth="1"/>
    <col min="14599" max="14599" width="16.17578125" style="27" bestFit="1" customWidth="1"/>
    <col min="14600" max="14600" width="12.17578125" style="27" bestFit="1" customWidth="1"/>
    <col min="14601" max="14601" width="10.64453125" style="27" bestFit="1" customWidth="1"/>
    <col min="14602" max="14602" width="12.8203125" style="27" bestFit="1" customWidth="1"/>
    <col min="14603" max="14603" width="10.64453125" style="27" bestFit="1" customWidth="1"/>
    <col min="14604" max="14604" width="12.8203125" style="27" bestFit="1" customWidth="1"/>
    <col min="14605" max="14605" width="8.8203125" style="27" bestFit="1" customWidth="1"/>
    <col min="14606" max="14846" width="8.8203125" style="27"/>
    <col min="14847" max="14847" width="29.46875" style="27" customWidth="1"/>
    <col min="14848" max="14848" width="22.8203125" style="27" customWidth="1"/>
    <col min="14849" max="14849" width="14.3515625" style="27" customWidth="1"/>
    <col min="14850" max="14850" width="21" style="27" customWidth="1"/>
    <col min="14851" max="14851" width="8.3515625" style="27" bestFit="1" customWidth="1"/>
    <col min="14852" max="14852" width="9.3515625" style="27" bestFit="1" customWidth="1"/>
    <col min="14853" max="14853" width="20" style="27" bestFit="1" customWidth="1"/>
    <col min="14854" max="14854" width="13.64453125" style="27" bestFit="1" customWidth="1"/>
    <col min="14855" max="14855" width="16.17578125" style="27" bestFit="1" customWidth="1"/>
    <col min="14856" max="14856" width="12.17578125" style="27" bestFit="1" customWidth="1"/>
    <col min="14857" max="14857" width="10.64453125" style="27" bestFit="1" customWidth="1"/>
    <col min="14858" max="14858" width="12.8203125" style="27" bestFit="1" customWidth="1"/>
    <col min="14859" max="14859" width="10.64453125" style="27" bestFit="1" customWidth="1"/>
    <col min="14860" max="14860" width="12.8203125" style="27" bestFit="1" customWidth="1"/>
    <col min="14861" max="14861" width="8.8203125" style="27" bestFit="1" customWidth="1"/>
    <col min="14862" max="15102" width="8.8203125" style="27"/>
    <col min="15103" max="15103" width="29.46875" style="27" customWidth="1"/>
    <col min="15104" max="15104" width="22.8203125" style="27" customWidth="1"/>
    <col min="15105" max="15105" width="14.3515625" style="27" customWidth="1"/>
    <col min="15106" max="15106" width="21" style="27" customWidth="1"/>
    <col min="15107" max="15107" width="8.3515625" style="27" bestFit="1" customWidth="1"/>
    <col min="15108" max="15108" width="9.3515625" style="27" bestFit="1" customWidth="1"/>
    <col min="15109" max="15109" width="20" style="27" bestFit="1" customWidth="1"/>
    <col min="15110" max="15110" width="13.64453125" style="27" bestFit="1" customWidth="1"/>
    <col min="15111" max="15111" width="16.17578125" style="27" bestFit="1" customWidth="1"/>
    <col min="15112" max="15112" width="12.17578125" style="27" bestFit="1" customWidth="1"/>
    <col min="15113" max="15113" width="10.64453125" style="27" bestFit="1" customWidth="1"/>
    <col min="15114" max="15114" width="12.8203125" style="27" bestFit="1" customWidth="1"/>
    <col min="15115" max="15115" width="10.64453125" style="27" bestFit="1" customWidth="1"/>
    <col min="15116" max="15116" width="12.8203125" style="27" bestFit="1" customWidth="1"/>
    <col min="15117" max="15117" width="8.8203125" style="27" bestFit="1" customWidth="1"/>
    <col min="15118" max="15358" width="8.8203125" style="27"/>
    <col min="15359" max="15359" width="29.46875" style="27" customWidth="1"/>
    <col min="15360" max="15360" width="22.8203125" style="27" customWidth="1"/>
    <col min="15361" max="15361" width="14.3515625" style="27" customWidth="1"/>
    <col min="15362" max="15362" width="21" style="27" customWidth="1"/>
    <col min="15363" max="15363" width="8.3515625" style="27" bestFit="1" customWidth="1"/>
    <col min="15364" max="15364" width="9.3515625" style="27" bestFit="1" customWidth="1"/>
    <col min="15365" max="15365" width="20" style="27" bestFit="1" customWidth="1"/>
    <col min="15366" max="15366" width="13.64453125" style="27" bestFit="1" customWidth="1"/>
    <col min="15367" max="15367" width="16.17578125" style="27" bestFit="1" customWidth="1"/>
    <col min="15368" max="15368" width="12.17578125" style="27" bestFit="1" customWidth="1"/>
    <col min="15369" max="15369" width="10.64453125" style="27" bestFit="1" customWidth="1"/>
    <col min="15370" max="15370" width="12.8203125" style="27" bestFit="1" customWidth="1"/>
    <col min="15371" max="15371" width="10.64453125" style="27" bestFit="1" customWidth="1"/>
    <col min="15372" max="15372" width="12.8203125" style="27" bestFit="1" customWidth="1"/>
    <col min="15373" max="15373" width="8.8203125" style="27" bestFit="1" customWidth="1"/>
    <col min="15374" max="15614" width="8.8203125" style="27"/>
    <col min="15615" max="15615" width="29.46875" style="27" customWidth="1"/>
    <col min="15616" max="15616" width="22.8203125" style="27" customWidth="1"/>
    <col min="15617" max="15617" width="14.3515625" style="27" customWidth="1"/>
    <col min="15618" max="15618" width="21" style="27" customWidth="1"/>
    <col min="15619" max="15619" width="8.3515625" style="27" bestFit="1" customWidth="1"/>
    <col min="15620" max="15620" width="9.3515625" style="27" bestFit="1" customWidth="1"/>
    <col min="15621" max="15621" width="20" style="27" bestFit="1" customWidth="1"/>
    <col min="15622" max="15622" width="13.64453125" style="27" bestFit="1" customWidth="1"/>
    <col min="15623" max="15623" width="16.17578125" style="27" bestFit="1" customWidth="1"/>
    <col min="15624" max="15624" width="12.17578125" style="27" bestFit="1" customWidth="1"/>
    <col min="15625" max="15625" width="10.64453125" style="27" bestFit="1" customWidth="1"/>
    <col min="15626" max="15626" width="12.8203125" style="27" bestFit="1" customWidth="1"/>
    <col min="15627" max="15627" width="10.64453125" style="27" bestFit="1" customWidth="1"/>
    <col min="15628" max="15628" width="12.8203125" style="27" bestFit="1" customWidth="1"/>
    <col min="15629" max="15629" width="8.8203125" style="27" bestFit="1" customWidth="1"/>
    <col min="15630" max="15870" width="8.8203125" style="27"/>
    <col min="15871" max="15871" width="29.46875" style="27" customWidth="1"/>
    <col min="15872" max="15872" width="22.8203125" style="27" customWidth="1"/>
    <col min="15873" max="15873" width="14.3515625" style="27" customWidth="1"/>
    <col min="15874" max="15874" width="21" style="27" customWidth="1"/>
    <col min="15875" max="15875" width="8.3515625" style="27" bestFit="1" customWidth="1"/>
    <col min="15876" max="15876" width="9.3515625" style="27" bestFit="1" customWidth="1"/>
    <col min="15877" max="15877" width="20" style="27" bestFit="1" customWidth="1"/>
    <col min="15878" max="15878" width="13.64453125" style="27" bestFit="1" customWidth="1"/>
    <col min="15879" max="15879" width="16.17578125" style="27" bestFit="1" customWidth="1"/>
    <col min="15880" max="15880" width="12.17578125" style="27" bestFit="1" customWidth="1"/>
    <col min="15881" max="15881" width="10.64453125" style="27" bestFit="1" customWidth="1"/>
    <col min="15882" max="15882" width="12.8203125" style="27" bestFit="1" customWidth="1"/>
    <col min="15883" max="15883" width="10.64453125" style="27" bestFit="1" customWidth="1"/>
    <col min="15884" max="15884" width="12.8203125" style="27" bestFit="1" customWidth="1"/>
    <col min="15885" max="15885" width="8.8203125" style="27" bestFit="1" customWidth="1"/>
    <col min="15886" max="16126" width="8.8203125" style="27"/>
    <col min="16127" max="16127" width="29.46875" style="27" customWidth="1"/>
    <col min="16128" max="16128" width="22.8203125" style="27" customWidth="1"/>
    <col min="16129" max="16129" width="14.3515625" style="27" customWidth="1"/>
    <col min="16130" max="16130" width="21" style="27" customWidth="1"/>
    <col min="16131" max="16131" width="8.3515625" style="27" bestFit="1" customWidth="1"/>
    <col min="16132" max="16132" width="9.3515625" style="27" bestFit="1" customWidth="1"/>
    <col min="16133" max="16133" width="20" style="27" bestFit="1" customWidth="1"/>
    <col min="16134" max="16134" width="13.64453125" style="27" bestFit="1" customWidth="1"/>
    <col min="16135" max="16135" width="16.17578125" style="27" bestFit="1" customWidth="1"/>
    <col min="16136" max="16136" width="12.17578125" style="27" bestFit="1" customWidth="1"/>
    <col min="16137" max="16137" width="10.64453125" style="27" bestFit="1" customWidth="1"/>
    <col min="16138" max="16138" width="12.8203125" style="27" bestFit="1" customWidth="1"/>
    <col min="16139" max="16139" width="10.64453125" style="27" bestFit="1" customWidth="1"/>
    <col min="16140" max="16140" width="12.8203125" style="27" bestFit="1" customWidth="1"/>
    <col min="16141" max="16141" width="8.8203125" style="27" bestFit="1" customWidth="1"/>
    <col min="16142" max="16384" width="8.8203125" style="27"/>
  </cols>
  <sheetData>
    <row r="1" spans="1:21" ht="21" x14ac:dyDescent="0.5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62"/>
      <c r="P1" s="61"/>
      <c r="Q1" s="60"/>
      <c r="R1" s="60"/>
      <c r="S1" s="59"/>
      <c r="T1" s="58"/>
      <c r="U1" s="57"/>
    </row>
    <row r="2" spans="1:21" ht="21" x14ac:dyDescent="0.5">
      <c r="A2" s="42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62"/>
      <c r="P2" s="61"/>
      <c r="Q2" s="60"/>
      <c r="R2" s="60"/>
      <c r="S2" s="59"/>
      <c r="T2" s="58"/>
      <c r="U2" s="57"/>
    </row>
    <row r="3" spans="1:21" ht="31" x14ac:dyDescent="0.7">
      <c r="A3" s="70" t="s">
        <v>94</v>
      </c>
      <c r="B3" s="42"/>
      <c r="C3" s="42"/>
      <c r="D3" s="63"/>
      <c r="E3" s="42"/>
      <c r="F3" s="42"/>
      <c r="G3" s="42"/>
      <c r="H3" s="42"/>
      <c r="I3" s="42"/>
      <c r="J3" s="42"/>
      <c r="K3" s="42"/>
      <c r="L3" s="42"/>
      <c r="M3" s="42"/>
      <c r="N3" s="42"/>
      <c r="O3" s="62"/>
      <c r="P3" s="61"/>
      <c r="Q3" s="60"/>
      <c r="R3" s="60"/>
      <c r="S3" s="59"/>
      <c r="T3" s="58"/>
      <c r="U3" s="57"/>
    </row>
    <row r="4" spans="1:21" ht="21" x14ac:dyDescent="0.5">
      <c r="A4" s="214" t="s">
        <v>25</v>
      </c>
    </row>
    <row r="5" spans="1:21" ht="60.75" customHeight="1" x14ac:dyDescent="0.5">
      <c r="A5" s="51" t="s">
        <v>65</v>
      </c>
      <c r="B5" s="50" t="s">
        <v>64</v>
      </c>
      <c r="C5" s="49" t="s">
        <v>63</v>
      </c>
      <c r="D5" s="49" t="s">
        <v>62</v>
      </c>
      <c r="E5" s="49" t="s">
        <v>61</v>
      </c>
      <c r="F5" s="49" t="s">
        <v>60</v>
      </c>
      <c r="G5" s="49" t="s">
        <v>58</v>
      </c>
      <c r="H5" s="48" t="s">
        <v>57</v>
      </c>
      <c r="M5" s="30"/>
      <c r="N5" s="30"/>
      <c r="O5" s="31"/>
      <c r="P5" s="31"/>
      <c r="Q5" s="31"/>
      <c r="R5" s="31"/>
      <c r="S5" s="31"/>
      <c r="T5" s="31"/>
      <c r="U5" s="31"/>
    </row>
    <row r="6" spans="1:21" ht="21" x14ac:dyDescent="0.5">
      <c r="A6" s="47" t="s">
        <v>72</v>
      </c>
      <c r="B6" s="46" t="s">
        <v>55</v>
      </c>
      <c r="C6" s="45">
        <v>6</v>
      </c>
      <c r="D6" s="45">
        <v>23</v>
      </c>
      <c r="E6" s="45">
        <v>6</v>
      </c>
      <c r="F6" s="45">
        <v>0</v>
      </c>
      <c r="G6" s="44">
        <f>D6/C6</f>
        <v>3.8333333333333335</v>
      </c>
      <c r="H6" s="44" t="s">
        <v>54</v>
      </c>
      <c r="M6" s="30"/>
      <c r="N6" s="30"/>
      <c r="O6" s="31"/>
      <c r="P6" s="31"/>
      <c r="Q6" s="31"/>
      <c r="R6" s="31"/>
      <c r="S6" s="31"/>
      <c r="T6" s="31"/>
      <c r="U6" s="31"/>
    </row>
    <row r="7" spans="1:21" ht="41.25" customHeight="1" x14ac:dyDescent="0.5">
      <c r="A7" s="43" t="s">
        <v>53</v>
      </c>
      <c r="B7" s="442" t="s">
        <v>52</v>
      </c>
      <c r="C7" s="443"/>
      <c r="D7" s="443"/>
      <c r="E7" s="443"/>
      <c r="F7" s="444"/>
      <c r="G7" s="445" t="s">
        <v>51</v>
      </c>
      <c r="H7" s="446"/>
      <c r="I7" s="446"/>
      <c r="J7" s="447"/>
      <c r="M7" s="30"/>
      <c r="N7" s="30"/>
      <c r="O7" s="31"/>
      <c r="P7" s="31"/>
      <c r="Q7" s="31"/>
      <c r="R7" s="31"/>
      <c r="S7" s="31"/>
      <c r="T7" s="31"/>
      <c r="U7" s="31"/>
    </row>
    <row r="8" spans="1:21" ht="21.75" customHeight="1" x14ac:dyDescent="0.5">
      <c r="A8" s="41"/>
      <c r="B8" s="448"/>
      <c r="C8" s="443"/>
      <c r="D8" s="443"/>
      <c r="E8" s="443"/>
      <c r="F8" s="444"/>
      <c r="G8" s="449" t="s">
        <v>50</v>
      </c>
      <c r="H8" s="451"/>
      <c r="I8" s="449" t="s">
        <v>49</v>
      </c>
      <c r="J8" s="450"/>
      <c r="K8" s="42"/>
      <c r="M8" s="29"/>
      <c r="N8" s="29"/>
      <c r="O8" s="31"/>
      <c r="P8" s="31"/>
      <c r="Q8" s="31"/>
      <c r="R8" s="31"/>
      <c r="S8" s="31"/>
      <c r="T8" s="38"/>
      <c r="U8" s="31"/>
    </row>
    <row r="9" spans="1:21" ht="87.75" customHeight="1" x14ac:dyDescent="0.7">
      <c r="A9" s="41" t="s">
        <v>48</v>
      </c>
      <c r="B9" s="49" t="s">
        <v>47</v>
      </c>
      <c r="C9" s="49" t="s">
        <v>46</v>
      </c>
      <c r="D9" s="49" t="s">
        <v>45</v>
      </c>
      <c r="E9" s="49" t="s">
        <v>44</v>
      </c>
      <c r="F9" s="49" t="s">
        <v>43</v>
      </c>
      <c r="G9" s="69" t="s">
        <v>42</v>
      </c>
      <c r="H9" s="69" t="s">
        <v>41</v>
      </c>
      <c r="I9" s="69" t="s">
        <v>42</v>
      </c>
      <c r="J9" s="49" t="s">
        <v>41</v>
      </c>
      <c r="K9" s="42"/>
      <c r="L9" s="42"/>
      <c r="M9" s="42"/>
      <c r="R9" s="31"/>
      <c r="S9" s="38"/>
      <c r="T9" s="31"/>
    </row>
    <row r="10" spans="1:21" ht="27.75" customHeight="1" x14ac:dyDescent="0.5">
      <c r="A10" s="217" t="s">
        <v>93</v>
      </c>
      <c r="B10" s="68">
        <v>0.5</v>
      </c>
      <c r="C10" s="68">
        <v>0.35</v>
      </c>
      <c r="D10" s="68">
        <v>0.4</v>
      </c>
      <c r="E10" s="53">
        <v>15</v>
      </c>
      <c r="F10" s="36">
        <v>0.3</v>
      </c>
      <c r="G10" s="36" t="s">
        <v>92</v>
      </c>
      <c r="H10" s="36" t="s">
        <v>91</v>
      </c>
      <c r="I10" s="37">
        <v>28</v>
      </c>
      <c r="J10" s="44">
        <v>0.9</v>
      </c>
      <c r="K10" s="42"/>
      <c r="L10" s="42"/>
      <c r="M10" s="42"/>
      <c r="R10" s="31"/>
      <c r="S10" s="31"/>
      <c r="T10" s="31"/>
    </row>
    <row r="11" spans="1:21" ht="21" x14ac:dyDescent="0.5">
      <c r="A11" s="42"/>
      <c r="B11" s="42"/>
      <c r="C11" s="42"/>
      <c r="D11" s="63"/>
      <c r="E11" s="42"/>
      <c r="F11" s="42"/>
      <c r="G11" s="42"/>
      <c r="H11" s="42"/>
      <c r="I11" s="42"/>
      <c r="J11" s="42"/>
      <c r="K11" s="42"/>
      <c r="L11" s="42"/>
      <c r="M11" s="42"/>
      <c r="R11" s="31"/>
      <c r="S11" s="31"/>
      <c r="T11" s="31"/>
    </row>
    <row r="12" spans="1:21" ht="27" customHeight="1" x14ac:dyDescent="0.5">
      <c r="A12" s="42"/>
      <c r="B12" s="42"/>
      <c r="G12" s="67"/>
      <c r="H12" s="67"/>
      <c r="I12" s="42"/>
      <c r="J12" s="42"/>
      <c r="K12" s="42"/>
      <c r="L12" s="42"/>
      <c r="M12" s="42"/>
      <c r="R12" s="31"/>
      <c r="S12" s="31"/>
      <c r="T12" s="31"/>
    </row>
    <row r="13" spans="1:21" ht="69.75" customHeight="1" x14ac:dyDescent="0.5">
      <c r="A13" s="42"/>
      <c r="B13" s="42"/>
      <c r="G13" s="66"/>
      <c r="H13" s="66"/>
      <c r="I13" s="42"/>
      <c r="J13" s="42"/>
      <c r="K13" s="42"/>
      <c r="L13" s="42"/>
      <c r="M13" s="42"/>
      <c r="R13" s="35"/>
      <c r="S13" s="35"/>
      <c r="T13" s="35"/>
    </row>
    <row r="14" spans="1:21" ht="21" x14ac:dyDescent="0.5">
      <c r="A14" s="42"/>
      <c r="B14" s="42"/>
      <c r="G14" s="65"/>
      <c r="H14" s="65"/>
      <c r="I14" s="42"/>
      <c r="J14" s="42"/>
      <c r="K14" s="42"/>
      <c r="L14" s="42"/>
      <c r="M14" s="42"/>
      <c r="R14" s="31"/>
      <c r="S14" s="31"/>
      <c r="T14" s="31"/>
    </row>
    <row r="15" spans="1:21" ht="21" x14ac:dyDescent="0.5">
      <c r="A15" s="64"/>
      <c r="B15" s="64"/>
      <c r="G15" s="65"/>
      <c r="H15" s="65"/>
      <c r="I15" s="64"/>
      <c r="J15" s="64"/>
      <c r="K15" s="64"/>
      <c r="L15" s="64"/>
      <c r="M15" s="64"/>
      <c r="N15" s="64"/>
    </row>
    <row r="16" spans="1:21" ht="21" x14ac:dyDescent="0.5">
      <c r="A16" s="42"/>
      <c r="B16" s="42"/>
      <c r="C16" s="42"/>
      <c r="D16" s="63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62"/>
      <c r="P16" s="61"/>
      <c r="Q16" s="60"/>
      <c r="R16" s="60"/>
      <c r="S16" s="59"/>
      <c r="T16" s="58"/>
      <c r="U16" s="57"/>
    </row>
    <row r="17" spans="1:21" ht="21" x14ac:dyDescent="0.5">
      <c r="A17" s="215" t="s">
        <v>26</v>
      </c>
      <c r="B17" s="42"/>
      <c r="C17" s="42"/>
      <c r="D17" s="63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62"/>
      <c r="P17" s="61"/>
      <c r="Q17" s="60"/>
      <c r="R17" s="60"/>
      <c r="S17" s="59"/>
      <c r="T17" s="58"/>
      <c r="U17" s="57"/>
    </row>
    <row r="18" spans="1:21" ht="63" x14ac:dyDescent="0.5">
      <c r="A18" s="51" t="s">
        <v>65</v>
      </c>
      <c r="B18" s="50" t="s">
        <v>64</v>
      </c>
      <c r="C18" s="49" t="s">
        <v>63</v>
      </c>
      <c r="D18" s="49" t="s">
        <v>62</v>
      </c>
      <c r="E18" s="49" t="s">
        <v>61</v>
      </c>
      <c r="F18" s="49" t="s">
        <v>60</v>
      </c>
      <c r="G18" s="49" t="s">
        <v>58</v>
      </c>
      <c r="H18" s="48" t="s">
        <v>57</v>
      </c>
      <c r="M18" s="30"/>
      <c r="N18" s="42"/>
      <c r="O18" s="62"/>
      <c r="P18" s="61"/>
      <c r="Q18" s="60"/>
      <c r="R18" s="60"/>
      <c r="S18" s="59"/>
      <c r="T18" s="58"/>
      <c r="U18" s="57"/>
    </row>
    <row r="19" spans="1:21" ht="21" x14ac:dyDescent="0.5">
      <c r="A19" s="47" t="s">
        <v>72</v>
      </c>
      <c r="B19" s="46" t="s">
        <v>55</v>
      </c>
      <c r="C19" s="45">
        <v>7</v>
      </c>
      <c r="D19" s="45">
        <v>23</v>
      </c>
      <c r="E19" s="45">
        <v>6</v>
      </c>
      <c r="F19" s="45">
        <v>0</v>
      </c>
      <c r="G19" s="44">
        <f>D19/C19</f>
        <v>3.2857142857142856</v>
      </c>
      <c r="H19" s="44" t="s">
        <v>54</v>
      </c>
      <c r="M19" s="30"/>
      <c r="N19" s="42"/>
      <c r="O19" s="62"/>
      <c r="P19" s="61"/>
      <c r="Q19" s="60"/>
      <c r="R19" s="60"/>
      <c r="S19" s="59"/>
      <c r="T19" s="58"/>
      <c r="U19" s="57"/>
    </row>
    <row r="20" spans="1:21" ht="42" x14ac:dyDescent="0.5">
      <c r="A20" s="43" t="s">
        <v>53</v>
      </c>
      <c r="B20" s="442" t="s">
        <v>52</v>
      </c>
      <c r="C20" s="443"/>
      <c r="D20" s="443"/>
      <c r="E20" s="443"/>
      <c r="F20" s="444"/>
      <c r="G20" s="445" t="s">
        <v>51</v>
      </c>
      <c r="H20" s="446"/>
      <c r="I20" s="446"/>
      <c r="J20" s="447"/>
      <c r="M20" s="30"/>
      <c r="N20" s="42"/>
      <c r="O20" s="62"/>
      <c r="P20" s="61"/>
      <c r="Q20" s="60"/>
      <c r="R20" s="60"/>
      <c r="S20" s="59"/>
      <c r="T20" s="58"/>
      <c r="U20" s="57"/>
    </row>
    <row r="21" spans="1:21" ht="21" customHeight="1" x14ac:dyDescent="0.5">
      <c r="A21" s="41"/>
      <c r="B21" s="448"/>
      <c r="C21" s="443"/>
      <c r="D21" s="443"/>
      <c r="E21" s="443"/>
      <c r="F21" s="444"/>
      <c r="G21" s="449" t="s">
        <v>50</v>
      </c>
      <c r="H21" s="451"/>
      <c r="I21" s="449" t="s">
        <v>49</v>
      </c>
      <c r="J21" s="450"/>
      <c r="K21" s="42"/>
      <c r="M21" s="29"/>
      <c r="N21" s="42"/>
      <c r="O21" s="62"/>
      <c r="P21" s="61"/>
      <c r="Q21" s="60"/>
      <c r="R21" s="60"/>
      <c r="S21" s="59"/>
      <c r="T21" s="58"/>
      <c r="U21" s="57"/>
    </row>
    <row r="22" spans="1:21" ht="87" x14ac:dyDescent="0.95">
      <c r="A22" s="41" t="s">
        <v>48</v>
      </c>
      <c r="B22" s="39" t="s">
        <v>47</v>
      </c>
      <c r="C22" s="39" t="s">
        <v>46</v>
      </c>
      <c r="D22" s="39" t="s">
        <v>45</v>
      </c>
      <c r="E22" s="39" t="s">
        <v>44</v>
      </c>
      <c r="F22" s="39" t="s">
        <v>43</v>
      </c>
      <c r="G22" s="40" t="s">
        <v>42</v>
      </c>
      <c r="H22" s="40" t="s">
        <v>41</v>
      </c>
      <c r="I22" s="40" t="s">
        <v>42</v>
      </c>
      <c r="J22" s="39" t="s">
        <v>41</v>
      </c>
      <c r="K22" s="42"/>
      <c r="M22" s="29"/>
      <c r="N22" s="42"/>
      <c r="O22" s="62"/>
      <c r="P22" s="61"/>
      <c r="Q22" s="60"/>
      <c r="R22" s="60"/>
      <c r="S22" s="59"/>
      <c r="T22" s="58"/>
      <c r="U22" s="57"/>
    </row>
    <row r="23" spans="1:21" ht="28.5" customHeight="1" x14ac:dyDescent="0.5">
      <c r="A23" s="217" t="s">
        <v>90</v>
      </c>
      <c r="B23" s="36">
        <v>0.75</v>
      </c>
      <c r="C23" s="36">
        <v>0.4</v>
      </c>
      <c r="D23" s="36">
        <v>0.6</v>
      </c>
      <c r="E23" s="53">
        <v>15</v>
      </c>
      <c r="F23" s="36">
        <v>0.3</v>
      </c>
      <c r="G23" s="36" t="s">
        <v>89</v>
      </c>
      <c r="H23" s="36" t="s">
        <v>88</v>
      </c>
      <c r="I23" s="37">
        <v>23</v>
      </c>
      <c r="J23" s="44">
        <v>1.1000000000000001</v>
      </c>
      <c r="K23" s="42"/>
      <c r="M23" s="29"/>
      <c r="N23" s="42"/>
      <c r="O23" s="62"/>
      <c r="P23" s="61"/>
      <c r="Q23" s="60"/>
      <c r="R23" s="60"/>
      <c r="S23" s="59"/>
      <c r="T23" s="58"/>
      <c r="U23" s="57"/>
    </row>
    <row r="24" spans="1:21" ht="21" x14ac:dyDescent="0.5">
      <c r="A24" s="42"/>
      <c r="B24" s="42"/>
      <c r="C24" s="42"/>
      <c r="D24" s="63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62"/>
      <c r="P24" s="61"/>
      <c r="Q24" s="60"/>
      <c r="R24" s="60"/>
      <c r="S24" s="59"/>
      <c r="T24" s="58"/>
      <c r="U24" s="57"/>
    </row>
    <row r="25" spans="1:21" ht="21" x14ac:dyDescent="0.5">
      <c r="A25" s="42"/>
      <c r="B25" s="42"/>
      <c r="C25" s="42"/>
      <c r="D25" s="63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62"/>
      <c r="P25" s="61"/>
      <c r="Q25" s="60"/>
      <c r="R25" s="60"/>
      <c r="S25" s="59"/>
      <c r="T25" s="58"/>
      <c r="U25" s="57"/>
    </row>
    <row r="26" spans="1:21" ht="21" x14ac:dyDescent="0.5">
      <c r="A26" s="42"/>
      <c r="B26" s="42"/>
      <c r="C26" s="42"/>
      <c r="D26" s="63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62"/>
      <c r="P26" s="61"/>
      <c r="Q26" s="60"/>
      <c r="R26" s="60"/>
      <c r="S26" s="59"/>
      <c r="T26" s="58"/>
      <c r="U26" s="57"/>
    </row>
    <row r="27" spans="1:21" ht="21" x14ac:dyDescent="0.5">
      <c r="A27" s="42"/>
      <c r="B27" s="42"/>
      <c r="C27" s="42"/>
      <c r="D27" s="63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62"/>
      <c r="P27" s="61"/>
      <c r="Q27" s="60"/>
      <c r="R27" s="60"/>
      <c r="S27" s="59"/>
      <c r="T27" s="58"/>
      <c r="U27" s="57"/>
    </row>
    <row r="28" spans="1:21" ht="21" x14ac:dyDescent="0.5">
      <c r="A28" s="42"/>
      <c r="B28" s="42"/>
      <c r="C28" s="42"/>
      <c r="D28" s="63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62"/>
      <c r="P28" s="61"/>
      <c r="Q28" s="60"/>
      <c r="R28" s="60"/>
      <c r="S28" s="59"/>
      <c r="T28" s="58"/>
      <c r="U28" s="57"/>
    </row>
    <row r="29" spans="1:21" ht="21" x14ac:dyDescent="0.5">
      <c r="A29" s="42"/>
      <c r="B29" s="42"/>
      <c r="C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62"/>
      <c r="P29" s="61"/>
      <c r="Q29" s="60"/>
      <c r="R29" s="60"/>
      <c r="S29" s="59"/>
      <c r="T29" s="58"/>
      <c r="U29" s="57"/>
    </row>
    <row r="30" spans="1:21" ht="21" x14ac:dyDescent="0.5">
      <c r="A30" s="216" t="s">
        <v>27</v>
      </c>
      <c r="B30" s="57"/>
      <c r="C30" s="57"/>
      <c r="D30" s="57"/>
      <c r="E30" s="57"/>
      <c r="F30" s="57"/>
      <c r="G30" s="57"/>
      <c r="H30" s="57"/>
      <c r="I30" s="57"/>
      <c r="J30" s="42"/>
      <c r="K30" s="42"/>
      <c r="L30" s="42"/>
      <c r="M30" s="57"/>
      <c r="N30" s="57"/>
      <c r="O30" s="57"/>
      <c r="P30" s="57"/>
      <c r="Q30" s="57"/>
      <c r="R30" s="57"/>
      <c r="S30" s="57"/>
      <c r="T30" s="57"/>
      <c r="U30" s="57"/>
    </row>
    <row r="31" spans="1:21" ht="60.75" customHeight="1" x14ac:dyDescent="0.5">
      <c r="A31" s="51" t="s">
        <v>65</v>
      </c>
      <c r="B31" s="50" t="s">
        <v>64</v>
      </c>
      <c r="C31" s="49" t="s">
        <v>63</v>
      </c>
      <c r="D31" s="49" t="s">
        <v>62</v>
      </c>
      <c r="E31" s="49" t="s">
        <v>61</v>
      </c>
      <c r="F31" s="49" t="s">
        <v>60</v>
      </c>
      <c r="G31" s="49" t="s">
        <v>59</v>
      </c>
      <c r="H31" s="49" t="s">
        <v>58</v>
      </c>
      <c r="I31" s="48" t="s">
        <v>57</v>
      </c>
      <c r="M31" s="30"/>
      <c r="N31" s="30"/>
      <c r="O31" s="31"/>
      <c r="P31" s="31"/>
      <c r="Q31" s="31"/>
      <c r="R31" s="31"/>
      <c r="S31" s="31"/>
      <c r="T31" s="31"/>
      <c r="U31" s="31"/>
    </row>
    <row r="32" spans="1:21" x14ac:dyDescent="0.7">
      <c r="A32" s="47" t="s">
        <v>72</v>
      </c>
      <c r="B32" s="46" t="s">
        <v>55</v>
      </c>
      <c r="C32" s="45">
        <v>7</v>
      </c>
      <c r="D32" s="45">
        <v>24</v>
      </c>
      <c r="E32" s="45">
        <v>6</v>
      </c>
      <c r="F32" s="45">
        <v>0.14000000000000001</v>
      </c>
      <c r="G32" s="56" t="s">
        <v>79</v>
      </c>
      <c r="H32" s="44" t="s">
        <v>35</v>
      </c>
      <c r="I32" s="44" t="s">
        <v>54</v>
      </c>
      <c r="M32" s="30"/>
      <c r="N32" s="30"/>
      <c r="O32" s="31"/>
      <c r="P32" s="31"/>
      <c r="Q32" s="31"/>
      <c r="R32" s="31"/>
      <c r="S32" s="31"/>
      <c r="T32" s="31"/>
      <c r="U32" s="31"/>
    </row>
    <row r="33" spans="1:21" ht="41.35" x14ac:dyDescent="0.7">
      <c r="A33" s="43" t="s">
        <v>53</v>
      </c>
      <c r="B33" s="442" t="s">
        <v>52</v>
      </c>
      <c r="C33" s="443"/>
      <c r="D33" s="443"/>
      <c r="E33" s="443"/>
      <c r="F33" s="444"/>
      <c r="G33" s="445" t="s">
        <v>51</v>
      </c>
      <c r="H33" s="446"/>
      <c r="I33" s="446"/>
      <c r="J33" s="447"/>
      <c r="M33" s="30"/>
      <c r="N33" s="30"/>
      <c r="O33" s="31"/>
      <c r="P33" s="31"/>
      <c r="Q33" s="31"/>
      <c r="R33" s="31"/>
      <c r="S33" s="31"/>
      <c r="T33" s="31"/>
      <c r="U33" s="31"/>
    </row>
    <row r="34" spans="1:21" ht="21" customHeight="1" x14ac:dyDescent="0.7">
      <c r="A34" s="41"/>
      <c r="B34" s="448"/>
      <c r="C34" s="443"/>
      <c r="D34" s="443"/>
      <c r="E34" s="443"/>
      <c r="F34" s="444"/>
      <c r="G34" s="449" t="s">
        <v>50</v>
      </c>
      <c r="H34" s="451"/>
      <c r="I34" s="449" t="s">
        <v>49</v>
      </c>
      <c r="J34" s="450"/>
      <c r="K34" s="42"/>
      <c r="L34" s="42"/>
      <c r="M34" s="30"/>
      <c r="N34" s="30"/>
      <c r="O34" s="31"/>
      <c r="P34" s="31"/>
      <c r="Q34" s="31"/>
      <c r="R34" s="31"/>
      <c r="S34" s="31"/>
      <c r="T34" s="38"/>
      <c r="U34" s="31"/>
    </row>
    <row r="35" spans="1:21" ht="87" x14ac:dyDescent="0.95">
      <c r="A35" s="41" t="s">
        <v>48</v>
      </c>
      <c r="B35" s="39" t="s">
        <v>47</v>
      </c>
      <c r="C35" s="39" t="s">
        <v>46</v>
      </c>
      <c r="D35" s="39" t="s">
        <v>45</v>
      </c>
      <c r="E35" s="39" t="s">
        <v>44</v>
      </c>
      <c r="F35" s="39" t="s">
        <v>43</v>
      </c>
      <c r="G35" s="40" t="s">
        <v>42</v>
      </c>
      <c r="H35" s="40" t="s">
        <v>41</v>
      </c>
      <c r="I35" s="40" t="s">
        <v>42</v>
      </c>
      <c r="J35" s="39" t="s">
        <v>41</v>
      </c>
      <c r="K35" s="42"/>
      <c r="L35" s="42"/>
      <c r="M35" s="30"/>
      <c r="N35" s="30"/>
      <c r="O35" s="31"/>
      <c r="P35" s="31"/>
      <c r="Q35" s="31"/>
      <c r="R35" s="31"/>
      <c r="S35" s="38"/>
      <c r="T35" s="31"/>
    </row>
    <row r="36" spans="1:21" ht="27.75" customHeight="1" x14ac:dyDescent="0.7">
      <c r="A36" s="217" t="s">
        <v>90</v>
      </c>
      <c r="B36" s="36">
        <v>0.75</v>
      </c>
      <c r="C36" s="36">
        <v>0.4</v>
      </c>
      <c r="D36" s="36">
        <v>0.6</v>
      </c>
      <c r="E36" s="53">
        <v>15</v>
      </c>
      <c r="F36" s="36">
        <v>0.3</v>
      </c>
      <c r="G36" s="36" t="s">
        <v>89</v>
      </c>
      <c r="H36" s="36" t="s">
        <v>88</v>
      </c>
      <c r="I36" s="37">
        <v>23</v>
      </c>
      <c r="J36" s="44">
        <v>1.1000000000000001</v>
      </c>
      <c r="K36" s="42"/>
      <c r="L36" s="42"/>
      <c r="M36" s="30"/>
      <c r="N36" s="30"/>
      <c r="O36" s="31"/>
      <c r="P36" s="31"/>
      <c r="Q36" s="31"/>
      <c r="R36" s="31"/>
      <c r="S36" s="31"/>
      <c r="T36" s="31"/>
    </row>
    <row r="37" spans="1:21" x14ac:dyDescent="0.7">
      <c r="M37" s="30"/>
      <c r="N37" s="30"/>
      <c r="O37" s="31"/>
      <c r="P37" s="31"/>
      <c r="Q37" s="31"/>
      <c r="R37" s="35"/>
      <c r="S37" s="35"/>
      <c r="T37" s="35"/>
    </row>
    <row r="38" spans="1:21" x14ac:dyDescent="0.7">
      <c r="M38" s="30"/>
      <c r="N38" s="30"/>
      <c r="O38" s="31"/>
      <c r="P38" s="31"/>
      <c r="Q38" s="31"/>
      <c r="R38" s="31"/>
      <c r="S38" s="31"/>
      <c r="T38" s="31"/>
    </row>
    <row r="39" spans="1:21" x14ac:dyDescent="0.7">
      <c r="M39" s="30"/>
      <c r="N39" s="30"/>
      <c r="O39" s="31"/>
      <c r="P39" s="31"/>
      <c r="Q39" s="31"/>
      <c r="R39" s="31"/>
      <c r="S39" s="31"/>
      <c r="T39" s="31"/>
    </row>
    <row r="40" spans="1:21" x14ac:dyDescent="0.7">
      <c r="M40" s="30"/>
      <c r="N40" s="30"/>
      <c r="O40" s="31"/>
      <c r="P40" s="31"/>
      <c r="Q40" s="31"/>
      <c r="R40" s="31"/>
      <c r="S40" s="31"/>
      <c r="T40" s="31"/>
    </row>
    <row r="41" spans="1:21" x14ac:dyDescent="0.7">
      <c r="M41" s="30"/>
      <c r="N41" s="30"/>
      <c r="O41" s="31"/>
      <c r="P41" s="31"/>
      <c r="Q41" s="31"/>
      <c r="R41" s="34"/>
      <c r="S41" s="34"/>
      <c r="T41" s="34"/>
    </row>
    <row r="42" spans="1:21" x14ac:dyDescent="0.7">
      <c r="M42" s="30"/>
      <c r="N42" s="30"/>
      <c r="O42" s="31"/>
      <c r="P42" s="31"/>
      <c r="Q42" s="31"/>
    </row>
    <row r="43" spans="1:21" x14ac:dyDescent="0.7">
      <c r="M43" s="30"/>
      <c r="N43" s="30"/>
      <c r="O43" s="31"/>
      <c r="P43" s="31"/>
      <c r="Q43" s="31"/>
    </row>
    <row r="44" spans="1:21" x14ac:dyDescent="0.7">
      <c r="A44" s="214" t="s">
        <v>28</v>
      </c>
      <c r="M44" s="30"/>
      <c r="N44" s="30"/>
      <c r="O44" s="31"/>
      <c r="P44" s="31"/>
      <c r="Q44" s="31"/>
    </row>
    <row r="45" spans="1:21" ht="60.75" customHeight="1" x14ac:dyDescent="0.7">
      <c r="A45" s="51" t="s">
        <v>65</v>
      </c>
      <c r="B45" s="50" t="s">
        <v>64</v>
      </c>
      <c r="C45" s="49" t="s">
        <v>63</v>
      </c>
      <c r="D45" s="49" t="s">
        <v>62</v>
      </c>
      <c r="E45" s="49" t="s">
        <v>61</v>
      </c>
      <c r="F45" s="49" t="s">
        <v>60</v>
      </c>
      <c r="G45" s="49" t="s">
        <v>59</v>
      </c>
      <c r="H45" s="49" t="s">
        <v>58</v>
      </c>
      <c r="I45" s="48" t="s">
        <v>57</v>
      </c>
      <c r="M45" s="30"/>
      <c r="N45" s="30"/>
      <c r="O45" s="31"/>
      <c r="P45" s="31"/>
      <c r="Q45" s="31"/>
      <c r="R45" s="31"/>
      <c r="S45" s="31"/>
      <c r="T45" s="31"/>
      <c r="U45" s="31"/>
    </row>
    <row r="46" spans="1:21" x14ac:dyDescent="0.7">
      <c r="A46" s="47" t="s">
        <v>72</v>
      </c>
      <c r="B46" s="46" t="s">
        <v>55</v>
      </c>
      <c r="C46" s="45">
        <v>6</v>
      </c>
      <c r="D46" s="45">
        <v>26</v>
      </c>
      <c r="E46" s="45">
        <v>7</v>
      </c>
      <c r="F46" s="45">
        <v>0.2</v>
      </c>
      <c r="G46" s="56" t="s">
        <v>79</v>
      </c>
      <c r="H46" s="44">
        <f>D46/C46</f>
        <v>4.333333333333333</v>
      </c>
      <c r="I46" s="44" t="s">
        <v>54</v>
      </c>
      <c r="M46" s="30"/>
      <c r="N46" s="30"/>
      <c r="O46" s="31"/>
      <c r="P46" s="31"/>
      <c r="Q46" s="31"/>
      <c r="R46" s="31"/>
      <c r="S46" s="31"/>
      <c r="T46" s="31"/>
      <c r="U46" s="31"/>
    </row>
    <row r="47" spans="1:21" ht="41.35" x14ac:dyDescent="0.7">
      <c r="A47" s="43" t="s">
        <v>53</v>
      </c>
      <c r="B47" s="442" t="s">
        <v>52</v>
      </c>
      <c r="C47" s="443"/>
      <c r="D47" s="443"/>
      <c r="E47" s="443"/>
      <c r="F47" s="444"/>
      <c r="G47" s="445" t="s">
        <v>51</v>
      </c>
      <c r="H47" s="446"/>
      <c r="I47" s="446"/>
      <c r="J47" s="447"/>
      <c r="M47" s="30"/>
      <c r="N47" s="30"/>
      <c r="O47" s="31"/>
      <c r="P47" s="31"/>
      <c r="Q47" s="31"/>
      <c r="R47" s="31"/>
      <c r="S47" s="31"/>
      <c r="T47" s="31"/>
      <c r="U47" s="31"/>
    </row>
    <row r="48" spans="1:21" ht="21" customHeight="1" x14ac:dyDescent="0.7">
      <c r="A48" s="41"/>
      <c r="B48" s="448"/>
      <c r="C48" s="443"/>
      <c r="D48" s="443"/>
      <c r="E48" s="443"/>
      <c r="F48" s="444"/>
      <c r="G48" s="449" t="s">
        <v>50</v>
      </c>
      <c r="H48" s="451"/>
      <c r="I48" s="449" t="s">
        <v>49</v>
      </c>
      <c r="J48" s="450"/>
      <c r="K48" s="42"/>
      <c r="L48" s="42"/>
      <c r="M48" s="30"/>
      <c r="N48" s="30"/>
      <c r="O48" s="31"/>
      <c r="P48" s="31"/>
      <c r="Q48" s="31"/>
      <c r="R48" s="31"/>
      <c r="S48" s="31"/>
      <c r="T48" s="38"/>
      <c r="U48" s="31"/>
    </row>
    <row r="49" spans="1:20" ht="87" x14ac:dyDescent="0.95">
      <c r="A49" s="41" t="s">
        <v>48</v>
      </c>
      <c r="B49" s="39" t="s">
        <v>47</v>
      </c>
      <c r="C49" s="39" t="s">
        <v>46</v>
      </c>
      <c r="D49" s="39" t="s">
        <v>45</v>
      </c>
      <c r="E49" s="39" t="s">
        <v>44</v>
      </c>
      <c r="F49" s="39" t="s">
        <v>43</v>
      </c>
      <c r="G49" s="40" t="s">
        <v>42</v>
      </c>
      <c r="H49" s="40" t="s">
        <v>41</v>
      </c>
      <c r="I49" s="40" t="s">
        <v>42</v>
      </c>
      <c r="J49" s="39" t="s">
        <v>41</v>
      </c>
      <c r="K49" s="42"/>
      <c r="L49" s="42"/>
      <c r="M49" s="30"/>
      <c r="N49" s="30"/>
      <c r="O49" s="31"/>
      <c r="P49" s="31"/>
      <c r="Q49" s="31"/>
      <c r="R49" s="31"/>
      <c r="S49" s="38"/>
      <c r="T49" s="31"/>
    </row>
    <row r="50" spans="1:20" ht="27" customHeight="1" x14ac:dyDescent="0.7">
      <c r="A50" s="217" t="s">
        <v>78</v>
      </c>
      <c r="B50" s="36">
        <v>1</v>
      </c>
      <c r="C50" s="36">
        <v>0.4</v>
      </c>
      <c r="D50" s="36">
        <v>0.6</v>
      </c>
      <c r="E50" s="53">
        <v>15</v>
      </c>
      <c r="F50" s="36">
        <v>0.35</v>
      </c>
      <c r="G50" s="36" t="s">
        <v>87</v>
      </c>
      <c r="H50" s="36" t="s">
        <v>86</v>
      </c>
      <c r="I50" s="36" t="s">
        <v>85</v>
      </c>
      <c r="J50" s="44">
        <v>1.6</v>
      </c>
      <c r="K50" s="42"/>
      <c r="L50" s="42"/>
      <c r="M50" s="30"/>
      <c r="N50" s="30"/>
      <c r="O50" s="31"/>
      <c r="P50" s="31"/>
      <c r="Q50" s="31"/>
      <c r="R50" s="31"/>
      <c r="S50" s="31"/>
      <c r="T50" s="31"/>
    </row>
    <row r="51" spans="1:20" x14ac:dyDescent="0.7">
      <c r="K51" s="42"/>
      <c r="L51" s="42"/>
      <c r="M51" s="30"/>
      <c r="N51" s="30"/>
      <c r="O51" s="31"/>
      <c r="P51" s="31"/>
      <c r="Q51" s="31"/>
      <c r="R51" s="35"/>
      <c r="S51" s="35"/>
      <c r="T51" s="35"/>
    </row>
    <row r="52" spans="1:20" x14ac:dyDescent="0.7">
      <c r="M52" s="30"/>
      <c r="N52" s="30"/>
      <c r="O52" s="31"/>
      <c r="P52" s="31"/>
      <c r="Q52" s="31"/>
      <c r="R52" s="31"/>
      <c r="S52" s="31"/>
      <c r="T52" s="31"/>
    </row>
    <row r="53" spans="1:20" x14ac:dyDescent="0.7">
      <c r="M53" s="30"/>
      <c r="N53" s="30"/>
      <c r="O53" s="31"/>
      <c r="P53" s="31"/>
      <c r="Q53" s="31"/>
      <c r="R53" s="31"/>
      <c r="S53" s="31"/>
      <c r="T53" s="31"/>
    </row>
    <row r="54" spans="1:20" x14ac:dyDescent="0.7">
      <c r="M54" s="30"/>
      <c r="N54" s="30"/>
      <c r="O54" s="31"/>
      <c r="P54" s="31"/>
      <c r="Q54" s="31"/>
      <c r="R54" s="31"/>
      <c r="S54" s="31"/>
      <c r="T54" s="31"/>
    </row>
    <row r="55" spans="1:20" x14ac:dyDescent="0.7">
      <c r="M55" s="30"/>
      <c r="N55" s="30"/>
      <c r="O55" s="31"/>
      <c r="P55" s="31"/>
      <c r="Q55" s="31"/>
      <c r="R55" s="34"/>
      <c r="S55" s="34"/>
      <c r="T55" s="34"/>
    </row>
    <row r="56" spans="1:20" x14ac:dyDescent="0.7">
      <c r="M56" s="30"/>
      <c r="N56" s="30"/>
      <c r="O56" s="31"/>
      <c r="P56" s="31"/>
      <c r="Q56" s="31"/>
    </row>
    <row r="57" spans="1:20" x14ac:dyDescent="0.7">
      <c r="M57" s="30"/>
      <c r="N57" s="30"/>
      <c r="O57" s="31"/>
      <c r="P57" s="31"/>
      <c r="Q57" s="31"/>
    </row>
    <row r="58" spans="1:20" x14ac:dyDescent="0.7">
      <c r="A58" s="214" t="s">
        <v>29</v>
      </c>
    </row>
    <row r="59" spans="1:20" ht="60.75" customHeight="1" x14ac:dyDescent="0.7">
      <c r="A59" s="51" t="s">
        <v>65</v>
      </c>
      <c r="B59" s="50" t="s">
        <v>64</v>
      </c>
      <c r="C59" s="49" t="s">
        <v>63</v>
      </c>
      <c r="D59" s="49" t="s">
        <v>62</v>
      </c>
      <c r="E59" s="49" t="s">
        <v>61</v>
      </c>
      <c r="F59" s="49" t="s">
        <v>60</v>
      </c>
      <c r="G59" s="49" t="s">
        <v>59</v>
      </c>
      <c r="H59" s="49" t="s">
        <v>58</v>
      </c>
      <c r="I59" s="48" t="s">
        <v>57</v>
      </c>
      <c r="M59" s="30"/>
      <c r="N59" s="30"/>
      <c r="O59" s="31"/>
      <c r="P59" s="31"/>
      <c r="Q59" s="31"/>
      <c r="R59" s="31"/>
      <c r="S59" s="31"/>
      <c r="T59" s="31"/>
    </row>
    <row r="60" spans="1:20" x14ac:dyDescent="0.7">
      <c r="A60" s="47" t="s">
        <v>72</v>
      </c>
      <c r="B60" s="46" t="s">
        <v>55</v>
      </c>
      <c r="C60" s="45">
        <v>8</v>
      </c>
      <c r="D60" s="45">
        <v>32</v>
      </c>
      <c r="E60" s="45">
        <v>7</v>
      </c>
      <c r="F60" s="45">
        <v>0</v>
      </c>
      <c r="G60" s="37">
        <v>0</v>
      </c>
      <c r="H60" s="44">
        <f>D60/C60</f>
        <v>4</v>
      </c>
      <c r="I60" s="44" t="s">
        <v>54</v>
      </c>
      <c r="M60" s="30"/>
      <c r="N60" s="30"/>
      <c r="O60" s="31"/>
      <c r="P60" s="31"/>
      <c r="Q60" s="31"/>
      <c r="R60" s="31"/>
      <c r="S60" s="31"/>
      <c r="T60" s="31"/>
    </row>
    <row r="61" spans="1:20" ht="41.35" x14ac:dyDescent="0.7">
      <c r="A61" s="43" t="s">
        <v>53</v>
      </c>
      <c r="B61" s="442" t="s">
        <v>52</v>
      </c>
      <c r="C61" s="443"/>
      <c r="D61" s="443"/>
      <c r="E61" s="443"/>
      <c r="F61" s="444"/>
      <c r="G61" s="445" t="s">
        <v>51</v>
      </c>
      <c r="H61" s="446"/>
      <c r="I61" s="446"/>
      <c r="J61" s="447"/>
      <c r="M61" s="30"/>
      <c r="N61" s="30"/>
      <c r="O61" s="31"/>
      <c r="P61" s="31"/>
      <c r="Q61" s="31"/>
      <c r="R61" s="31"/>
      <c r="S61" s="31"/>
      <c r="T61" s="31"/>
    </row>
    <row r="62" spans="1:20" ht="21" customHeight="1" x14ac:dyDescent="0.7">
      <c r="A62" s="41"/>
      <c r="B62" s="448"/>
      <c r="C62" s="443"/>
      <c r="D62" s="443"/>
      <c r="E62" s="443"/>
      <c r="F62" s="444"/>
      <c r="G62" s="449" t="s">
        <v>50</v>
      </c>
      <c r="H62" s="451"/>
      <c r="I62" s="449" t="s">
        <v>49</v>
      </c>
      <c r="J62" s="450"/>
      <c r="K62" s="42"/>
      <c r="L62" s="42"/>
      <c r="M62" s="30"/>
      <c r="N62" s="30"/>
      <c r="O62" s="31"/>
      <c r="P62" s="31"/>
      <c r="Q62" s="31"/>
      <c r="R62" s="31"/>
      <c r="S62" s="38"/>
      <c r="T62" s="31"/>
    </row>
    <row r="63" spans="1:20" ht="87" x14ac:dyDescent="0.95">
      <c r="A63" s="41" t="s">
        <v>48</v>
      </c>
      <c r="B63" s="39" t="s">
        <v>47</v>
      </c>
      <c r="C63" s="39" t="s">
        <v>46</v>
      </c>
      <c r="D63" s="39" t="s">
        <v>45</v>
      </c>
      <c r="E63" s="39" t="s">
        <v>44</v>
      </c>
      <c r="F63" s="39" t="s">
        <v>43</v>
      </c>
      <c r="G63" s="40" t="s">
        <v>42</v>
      </c>
      <c r="H63" s="40" t="s">
        <v>41</v>
      </c>
      <c r="I63" s="40" t="s">
        <v>42</v>
      </c>
      <c r="J63" s="39" t="s">
        <v>41</v>
      </c>
      <c r="K63" s="42"/>
      <c r="L63" s="42"/>
      <c r="M63" s="30"/>
      <c r="N63" s="30"/>
      <c r="O63" s="31"/>
      <c r="P63" s="31"/>
      <c r="Q63" s="31"/>
      <c r="R63" s="31"/>
      <c r="S63" s="38"/>
      <c r="T63" s="31"/>
    </row>
    <row r="64" spans="1:20" ht="28.5" customHeight="1" x14ac:dyDescent="0.7">
      <c r="A64" s="217" t="s">
        <v>78</v>
      </c>
      <c r="B64" s="36">
        <v>1</v>
      </c>
      <c r="C64" s="36">
        <v>0.4</v>
      </c>
      <c r="D64" s="36">
        <v>0.6</v>
      </c>
      <c r="E64" s="53">
        <v>15</v>
      </c>
      <c r="F64" s="36">
        <v>0.35</v>
      </c>
      <c r="G64" s="36" t="s">
        <v>84</v>
      </c>
      <c r="H64" s="36" t="s">
        <v>83</v>
      </c>
      <c r="I64" s="37">
        <v>27</v>
      </c>
      <c r="J64" s="44">
        <v>1.6</v>
      </c>
      <c r="K64" s="42"/>
      <c r="L64" s="42"/>
      <c r="M64" s="30"/>
      <c r="N64" s="30"/>
      <c r="O64" s="31"/>
      <c r="P64" s="31"/>
      <c r="Q64" s="31"/>
      <c r="R64" s="31"/>
      <c r="S64" s="31"/>
      <c r="T64" s="31"/>
    </row>
    <row r="65" spans="1:21" x14ac:dyDescent="0.7">
      <c r="M65" s="30"/>
      <c r="N65" s="30"/>
      <c r="O65" s="31"/>
      <c r="P65" s="31"/>
      <c r="Q65" s="31"/>
      <c r="R65" s="35"/>
      <c r="S65" s="35"/>
      <c r="T65" s="35"/>
    </row>
    <row r="66" spans="1:21" x14ac:dyDescent="0.7">
      <c r="M66" s="30"/>
      <c r="N66" s="30"/>
      <c r="O66" s="31"/>
      <c r="P66" s="31"/>
      <c r="Q66" s="31"/>
      <c r="R66" s="31"/>
      <c r="S66" s="31"/>
      <c r="T66" s="31"/>
    </row>
    <row r="67" spans="1:21" x14ac:dyDescent="0.7">
      <c r="M67" s="30"/>
      <c r="N67" s="30"/>
      <c r="O67" s="31"/>
      <c r="P67" s="31"/>
      <c r="Q67" s="31"/>
      <c r="R67" s="31"/>
      <c r="S67" s="31"/>
      <c r="T67" s="31"/>
    </row>
    <row r="68" spans="1:21" x14ac:dyDescent="0.7">
      <c r="M68" s="30"/>
      <c r="N68" s="30"/>
      <c r="O68" s="31"/>
      <c r="P68" s="31"/>
      <c r="Q68" s="31"/>
      <c r="R68" s="31"/>
      <c r="S68" s="31"/>
      <c r="T68" s="31"/>
    </row>
    <row r="69" spans="1:21" x14ac:dyDescent="0.7">
      <c r="M69" s="30"/>
      <c r="N69" s="30"/>
      <c r="O69" s="31"/>
      <c r="P69" s="31"/>
      <c r="Q69" s="31"/>
      <c r="R69" s="34"/>
      <c r="S69" s="34"/>
      <c r="T69" s="34"/>
    </row>
    <row r="70" spans="1:21" x14ac:dyDescent="0.7">
      <c r="M70" s="30"/>
      <c r="N70" s="30"/>
      <c r="O70" s="31"/>
      <c r="P70" s="31"/>
      <c r="Q70" s="31"/>
    </row>
    <row r="71" spans="1:21" ht="27.75" customHeight="1" x14ac:dyDescent="0.7">
      <c r="A71" s="214" t="s">
        <v>30</v>
      </c>
    </row>
    <row r="72" spans="1:21" ht="60.75" customHeight="1" x14ac:dyDescent="0.7">
      <c r="A72" s="51" t="s">
        <v>65</v>
      </c>
      <c r="B72" s="50" t="s">
        <v>64</v>
      </c>
      <c r="C72" s="49" t="s">
        <v>63</v>
      </c>
      <c r="D72" s="49" t="s">
        <v>62</v>
      </c>
      <c r="E72" s="49" t="s">
        <v>61</v>
      </c>
      <c r="F72" s="49" t="s">
        <v>60</v>
      </c>
      <c r="G72" s="49" t="s">
        <v>59</v>
      </c>
      <c r="H72" s="49" t="s">
        <v>58</v>
      </c>
      <c r="I72" s="48" t="s">
        <v>57</v>
      </c>
      <c r="M72" s="30"/>
      <c r="N72" s="30"/>
      <c r="O72" s="31"/>
      <c r="P72" s="31"/>
      <c r="Q72" s="31"/>
      <c r="R72" s="31"/>
      <c r="S72" s="31"/>
      <c r="T72" s="31"/>
      <c r="U72" s="31"/>
    </row>
    <row r="73" spans="1:21" x14ac:dyDescent="0.7">
      <c r="A73" s="47" t="s">
        <v>72</v>
      </c>
      <c r="B73" s="46" t="s">
        <v>55</v>
      </c>
      <c r="C73" s="45">
        <v>7</v>
      </c>
      <c r="D73" s="45">
        <v>21</v>
      </c>
      <c r="E73" s="45">
        <v>9</v>
      </c>
      <c r="F73" s="45">
        <v>0</v>
      </c>
      <c r="G73" s="55">
        <v>3</v>
      </c>
      <c r="H73" s="44">
        <f>D73/C73</f>
        <v>3</v>
      </c>
      <c r="I73" s="44" t="s">
        <v>54</v>
      </c>
      <c r="M73" s="30"/>
      <c r="N73" s="30"/>
      <c r="O73" s="31"/>
      <c r="P73" s="31"/>
      <c r="Q73" s="31"/>
      <c r="R73" s="31"/>
      <c r="S73" s="31"/>
      <c r="T73" s="31"/>
      <c r="U73" s="31"/>
    </row>
    <row r="74" spans="1:21" ht="41.35" x14ac:dyDescent="0.7">
      <c r="A74" s="43" t="s">
        <v>53</v>
      </c>
      <c r="B74" s="442" t="s">
        <v>52</v>
      </c>
      <c r="C74" s="443"/>
      <c r="D74" s="443"/>
      <c r="E74" s="443"/>
      <c r="F74" s="444"/>
      <c r="G74" s="445" t="s">
        <v>51</v>
      </c>
      <c r="H74" s="446"/>
      <c r="I74" s="446"/>
      <c r="J74" s="447"/>
      <c r="M74" s="30"/>
      <c r="N74" s="30"/>
      <c r="O74" s="31"/>
      <c r="P74" s="31"/>
      <c r="Q74" s="31"/>
      <c r="R74" s="31"/>
      <c r="S74" s="31"/>
      <c r="T74" s="31"/>
      <c r="U74" s="31"/>
    </row>
    <row r="75" spans="1:21" ht="21" customHeight="1" x14ac:dyDescent="0.7">
      <c r="A75" s="41"/>
      <c r="B75" s="448"/>
      <c r="C75" s="443"/>
      <c r="D75" s="443"/>
      <c r="E75" s="443"/>
      <c r="F75" s="444"/>
      <c r="G75" s="449" t="s">
        <v>50</v>
      </c>
      <c r="H75" s="451"/>
      <c r="I75" s="449" t="s">
        <v>49</v>
      </c>
      <c r="J75" s="450"/>
      <c r="K75" s="42"/>
      <c r="M75" s="30"/>
      <c r="N75" s="30"/>
      <c r="O75" s="31"/>
      <c r="P75" s="31"/>
      <c r="Q75" s="31"/>
      <c r="R75" s="31"/>
      <c r="S75" s="31"/>
      <c r="T75" s="38"/>
      <c r="U75" s="31"/>
    </row>
    <row r="76" spans="1:21" ht="87" x14ac:dyDescent="0.95">
      <c r="A76" s="41" t="s">
        <v>48</v>
      </c>
      <c r="B76" s="39" t="s">
        <v>47</v>
      </c>
      <c r="C76" s="39" t="s">
        <v>46</v>
      </c>
      <c r="D76" s="39" t="s">
        <v>45</v>
      </c>
      <c r="E76" s="39" t="s">
        <v>44</v>
      </c>
      <c r="F76" s="39" t="s">
        <v>43</v>
      </c>
      <c r="G76" s="40" t="s">
        <v>42</v>
      </c>
      <c r="H76" s="40" t="s">
        <v>41</v>
      </c>
      <c r="I76" s="40" t="s">
        <v>42</v>
      </c>
      <c r="J76" s="39" t="s">
        <v>41</v>
      </c>
      <c r="M76" s="30"/>
      <c r="N76" s="30"/>
      <c r="O76" s="31"/>
      <c r="P76" s="31"/>
      <c r="Q76" s="31"/>
      <c r="R76" s="31"/>
      <c r="S76" s="38"/>
      <c r="T76" s="31"/>
    </row>
    <row r="77" spans="1:21" ht="27.75" customHeight="1" x14ac:dyDescent="0.7">
      <c r="A77" s="217" t="s">
        <v>78</v>
      </c>
      <c r="B77" s="54">
        <v>1</v>
      </c>
      <c r="C77" s="36">
        <v>0.4</v>
      </c>
      <c r="D77" s="36">
        <v>0.6</v>
      </c>
      <c r="E77" s="53">
        <v>15</v>
      </c>
      <c r="F77" s="36">
        <v>0.35</v>
      </c>
      <c r="G77" s="36" t="s">
        <v>82</v>
      </c>
      <c r="H77" s="36" t="s">
        <v>81</v>
      </c>
      <c r="I77" s="36" t="s">
        <v>80</v>
      </c>
      <c r="J77" s="44">
        <v>1.5</v>
      </c>
      <c r="M77" s="30"/>
      <c r="N77" s="30"/>
      <c r="O77" s="31"/>
      <c r="P77" s="31"/>
      <c r="Q77" s="31"/>
      <c r="R77" s="31"/>
      <c r="S77" s="31"/>
      <c r="T77" s="31"/>
    </row>
    <row r="78" spans="1:21" x14ac:dyDescent="0.7">
      <c r="M78" s="30"/>
      <c r="N78" s="30"/>
      <c r="O78" s="31"/>
      <c r="P78" s="31"/>
      <c r="Q78" s="31"/>
      <c r="R78" s="35"/>
      <c r="S78" s="35"/>
      <c r="T78" s="35"/>
    </row>
    <row r="79" spans="1:21" x14ac:dyDescent="0.7">
      <c r="M79" s="30"/>
      <c r="N79" s="30"/>
      <c r="O79" s="31"/>
      <c r="P79" s="31"/>
      <c r="Q79" s="31"/>
      <c r="R79" s="31"/>
      <c r="S79" s="31"/>
      <c r="T79" s="31"/>
    </row>
    <row r="80" spans="1:21" x14ac:dyDescent="0.7">
      <c r="M80" s="30"/>
      <c r="N80" s="30"/>
      <c r="O80" s="31"/>
      <c r="P80" s="31"/>
      <c r="Q80" s="31"/>
      <c r="R80" s="31"/>
      <c r="S80" s="31"/>
      <c r="T80" s="31"/>
    </row>
    <row r="81" spans="1:21" x14ac:dyDescent="0.7">
      <c r="M81" s="30"/>
      <c r="N81" s="30"/>
      <c r="O81" s="31"/>
      <c r="P81" s="31"/>
      <c r="Q81" s="31"/>
      <c r="R81" s="31"/>
      <c r="S81" s="31"/>
      <c r="T81" s="31"/>
    </row>
    <row r="82" spans="1:21" x14ac:dyDescent="0.7">
      <c r="M82" s="30"/>
      <c r="N82" s="30"/>
      <c r="O82" s="31"/>
      <c r="P82" s="31"/>
      <c r="Q82" s="31"/>
      <c r="R82" s="34"/>
      <c r="S82" s="34"/>
      <c r="T82" s="34"/>
    </row>
    <row r="83" spans="1:21" x14ac:dyDescent="0.7">
      <c r="M83" s="30"/>
      <c r="N83" s="30"/>
      <c r="O83" s="31"/>
      <c r="P83" s="31"/>
      <c r="Q83" s="31"/>
    </row>
    <row r="84" spans="1:21" ht="27.75" customHeight="1" x14ac:dyDescent="0.7">
      <c r="M84" s="30"/>
      <c r="N84" s="30"/>
      <c r="O84" s="31"/>
      <c r="P84" s="31"/>
      <c r="Q84" s="31"/>
    </row>
    <row r="85" spans="1:21" ht="27.75" customHeight="1" x14ac:dyDescent="0.7">
      <c r="A85" s="214" t="s">
        <v>31</v>
      </c>
    </row>
    <row r="86" spans="1:21" ht="60.75" customHeight="1" x14ac:dyDescent="0.7">
      <c r="A86" s="51" t="s">
        <v>65</v>
      </c>
      <c r="B86" s="50" t="s">
        <v>64</v>
      </c>
      <c r="C86" s="49" t="s">
        <v>63</v>
      </c>
      <c r="D86" s="49" t="s">
        <v>62</v>
      </c>
      <c r="E86" s="49" t="s">
        <v>61</v>
      </c>
      <c r="F86" s="49" t="s">
        <v>60</v>
      </c>
      <c r="G86" s="49" t="s">
        <v>59</v>
      </c>
      <c r="H86" s="49" t="s">
        <v>58</v>
      </c>
      <c r="I86" s="48" t="s">
        <v>57</v>
      </c>
      <c r="M86" s="30"/>
      <c r="N86" s="30"/>
      <c r="O86" s="31"/>
      <c r="P86" s="31"/>
      <c r="Q86" s="31"/>
      <c r="R86" s="31"/>
      <c r="S86" s="31"/>
      <c r="T86" s="31"/>
      <c r="U86" s="31"/>
    </row>
    <row r="87" spans="1:21" x14ac:dyDescent="0.7">
      <c r="A87" s="47" t="s">
        <v>72</v>
      </c>
      <c r="B87" s="46" t="s">
        <v>55</v>
      </c>
      <c r="C87" s="45">
        <v>10</v>
      </c>
      <c r="D87" s="45">
        <v>37</v>
      </c>
      <c r="E87" s="45">
        <v>10</v>
      </c>
      <c r="F87" s="45">
        <v>0.2</v>
      </c>
      <c r="G87" s="44" t="s">
        <v>79</v>
      </c>
      <c r="H87" s="44">
        <f>D87/C87</f>
        <v>3.7</v>
      </c>
      <c r="I87" s="44" t="s">
        <v>54</v>
      </c>
      <c r="M87" s="30"/>
      <c r="N87" s="30"/>
      <c r="O87" s="31"/>
      <c r="P87" s="31"/>
      <c r="Q87" s="31"/>
      <c r="R87" s="31"/>
      <c r="S87" s="31"/>
      <c r="T87" s="31"/>
      <c r="U87" s="31"/>
    </row>
    <row r="88" spans="1:21" ht="41.35" x14ac:dyDescent="0.7">
      <c r="A88" s="43" t="s">
        <v>53</v>
      </c>
      <c r="B88" s="442" t="s">
        <v>52</v>
      </c>
      <c r="C88" s="443"/>
      <c r="D88" s="443"/>
      <c r="E88" s="443"/>
      <c r="F88" s="444"/>
      <c r="G88" s="445" t="s">
        <v>51</v>
      </c>
      <c r="H88" s="446"/>
      <c r="I88" s="446"/>
      <c r="J88" s="447"/>
      <c r="M88" s="30"/>
      <c r="N88" s="30"/>
      <c r="O88" s="31"/>
      <c r="P88" s="31"/>
      <c r="Q88" s="31"/>
      <c r="R88" s="31"/>
      <c r="S88" s="31"/>
      <c r="T88" s="31"/>
      <c r="U88" s="31"/>
    </row>
    <row r="89" spans="1:21" ht="21" customHeight="1" x14ac:dyDescent="0.7">
      <c r="A89" s="41"/>
      <c r="B89" s="448"/>
      <c r="C89" s="443"/>
      <c r="D89" s="443"/>
      <c r="E89" s="443"/>
      <c r="F89" s="444"/>
      <c r="G89" s="449" t="s">
        <v>50</v>
      </c>
      <c r="H89" s="451"/>
      <c r="I89" s="449" t="s">
        <v>49</v>
      </c>
      <c r="J89" s="450"/>
      <c r="K89" s="42"/>
      <c r="L89" s="42"/>
      <c r="M89" s="30"/>
      <c r="N89" s="30"/>
      <c r="O89" s="31"/>
      <c r="P89" s="31"/>
      <c r="Q89" s="31"/>
      <c r="R89" s="31"/>
      <c r="S89" s="38"/>
      <c r="T89" s="31"/>
    </row>
    <row r="90" spans="1:21" ht="87" x14ac:dyDescent="0.95">
      <c r="A90" s="41" t="s">
        <v>48</v>
      </c>
      <c r="B90" s="39" t="s">
        <v>47</v>
      </c>
      <c r="C90" s="39" t="s">
        <v>46</v>
      </c>
      <c r="D90" s="39" t="s">
        <v>45</v>
      </c>
      <c r="E90" s="39" t="s">
        <v>44</v>
      </c>
      <c r="F90" s="39" t="s">
        <v>43</v>
      </c>
      <c r="G90" s="40" t="s">
        <v>42</v>
      </c>
      <c r="H90" s="40" t="s">
        <v>41</v>
      </c>
      <c r="I90" s="40" t="s">
        <v>42</v>
      </c>
      <c r="J90" s="39" t="s">
        <v>41</v>
      </c>
      <c r="M90" s="30"/>
      <c r="N90" s="30"/>
      <c r="O90" s="31"/>
      <c r="P90" s="31"/>
      <c r="Q90" s="31"/>
      <c r="R90" s="31"/>
      <c r="S90" s="38"/>
      <c r="T90" s="31"/>
    </row>
    <row r="91" spans="1:21" ht="27.75" customHeight="1" x14ac:dyDescent="0.7">
      <c r="A91" s="217" t="s">
        <v>78</v>
      </c>
      <c r="B91" s="36">
        <v>1</v>
      </c>
      <c r="C91" s="36">
        <v>0.4</v>
      </c>
      <c r="D91" s="36">
        <v>0.6</v>
      </c>
      <c r="E91" s="53">
        <v>15</v>
      </c>
      <c r="F91" s="36">
        <v>0.35</v>
      </c>
      <c r="G91" s="36" t="s">
        <v>77</v>
      </c>
      <c r="H91" s="44">
        <v>2.2999999999999998</v>
      </c>
      <c r="I91" s="36" t="s">
        <v>76</v>
      </c>
      <c r="J91" s="44">
        <v>1.6</v>
      </c>
      <c r="M91" s="30"/>
      <c r="N91" s="30"/>
      <c r="O91" s="31"/>
      <c r="P91" s="31"/>
      <c r="Q91" s="31"/>
      <c r="R91" s="31"/>
      <c r="S91" s="31"/>
      <c r="T91" s="31"/>
    </row>
    <row r="92" spans="1:21" x14ac:dyDescent="0.7">
      <c r="M92" s="30"/>
      <c r="N92" s="30"/>
      <c r="O92" s="31"/>
      <c r="P92" s="31"/>
      <c r="Q92" s="31"/>
      <c r="R92" s="35"/>
      <c r="S92" s="35"/>
      <c r="T92" s="35"/>
    </row>
    <row r="93" spans="1:21" x14ac:dyDescent="0.7">
      <c r="M93" s="30"/>
      <c r="N93" s="30"/>
      <c r="O93" s="31"/>
      <c r="P93" s="31"/>
      <c r="Q93" s="31"/>
      <c r="R93" s="31"/>
      <c r="S93" s="31"/>
      <c r="T93" s="31"/>
    </row>
    <row r="94" spans="1:21" x14ac:dyDescent="0.7">
      <c r="M94" s="30"/>
      <c r="N94" s="30"/>
      <c r="O94" s="31"/>
      <c r="P94" s="31"/>
      <c r="Q94" s="31"/>
      <c r="R94" s="31"/>
      <c r="S94" s="31"/>
      <c r="T94" s="31"/>
    </row>
    <row r="95" spans="1:21" ht="27.75" customHeight="1" x14ac:dyDescent="0.7"/>
    <row r="96" spans="1:21" ht="27.75" customHeight="1" x14ac:dyDescent="0.7"/>
    <row r="97" spans="1:21" x14ac:dyDescent="0.7">
      <c r="A97" s="214" t="s">
        <v>32</v>
      </c>
    </row>
    <row r="98" spans="1:21" ht="60.75" customHeight="1" x14ac:dyDescent="0.7">
      <c r="A98" s="51" t="s">
        <v>65</v>
      </c>
      <c r="B98" s="50" t="s">
        <v>64</v>
      </c>
      <c r="C98" s="49" t="s">
        <v>63</v>
      </c>
      <c r="D98" s="49" t="s">
        <v>62</v>
      </c>
      <c r="E98" s="49" t="s">
        <v>61</v>
      </c>
      <c r="F98" s="49" t="s">
        <v>60</v>
      </c>
      <c r="G98" s="49" t="s">
        <v>59</v>
      </c>
      <c r="H98" s="49" t="s">
        <v>58</v>
      </c>
      <c r="I98" s="48" t="s">
        <v>57</v>
      </c>
      <c r="M98" s="30"/>
      <c r="N98" s="30"/>
      <c r="O98" s="31"/>
      <c r="P98" s="31"/>
      <c r="Q98" s="31"/>
      <c r="R98" s="31"/>
      <c r="S98" s="31"/>
      <c r="T98" s="31"/>
      <c r="U98" s="31"/>
    </row>
    <row r="99" spans="1:21" x14ac:dyDescent="0.7">
      <c r="A99" s="47" t="s">
        <v>72</v>
      </c>
      <c r="B99" s="46" t="s">
        <v>75</v>
      </c>
      <c r="C99" s="45">
        <v>7</v>
      </c>
      <c r="D99" s="45">
        <v>33</v>
      </c>
      <c r="E99" s="45">
        <v>8</v>
      </c>
      <c r="F99" s="45">
        <v>0.2</v>
      </c>
      <c r="G99" s="44" t="s">
        <v>74</v>
      </c>
      <c r="H99" s="44">
        <v>4.0999999999999996</v>
      </c>
      <c r="I99" s="44" t="s">
        <v>54</v>
      </c>
      <c r="M99" s="30"/>
      <c r="N99" s="30"/>
      <c r="O99" s="31"/>
      <c r="P99" s="31"/>
      <c r="Q99" s="31"/>
      <c r="R99" s="31"/>
      <c r="S99" s="31"/>
      <c r="T99" s="31"/>
      <c r="U99" s="31"/>
    </row>
    <row r="100" spans="1:21" ht="41.35" x14ac:dyDescent="0.7">
      <c r="A100" s="43" t="s">
        <v>53</v>
      </c>
      <c r="B100" s="442" t="s">
        <v>52</v>
      </c>
      <c r="C100" s="443"/>
      <c r="D100" s="443"/>
      <c r="E100" s="443"/>
      <c r="F100" s="444"/>
      <c r="G100" s="445" t="s">
        <v>51</v>
      </c>
      <c r="H100" s="446"/>
      <c r="I100" s="446"/>
      <c r="J100" s="447"/>
      <c r="M100" s="30"/>
      <c r="N100" s="30"/>
      <c r="O100" s="31"/>
      <c r="P100" s="31"/>
      <c r="Q100" s="31"/>
      <c r="R100" s="31"/>
      <c r="S100" s="31"/>
      <c r="T100" s="31"/>
      <c r="U100" s="31"/>
    </row>
    <row r="101" spans="1:21" ht="21" customHeight="1" x14ac:dyDescent="0.7">
      <c r="A101" s="41"/>
      <c r="B101" s="448"/>
      <c r="C101" s="443"/>
      <c r="D101" s="443"/>
      <c r="E101" s="443"/>
      <c r="F101" s="444"/>
      <c r="G101" s="449" t="s">
        <v>50</v>
      </c>
      <c r="H101" s="451"/>
      <c r="I101" s="449" t="s">
        <v>49</v>
      </c>
      <c r="J101" s="450"/>
      <c r="K101" s="42"/>
      <c r="L101" s="42"/>
      <c r="M101" s="29"/>
      <c r="N101" s="29"/>
      <c r="O101" s="31"/>
      <c r="P101" s="31"/>
      <c r="Q101" s="31"/>
      <c r="R101" s="31"/>
      <c r="S101" s="38"/>
      <c r="T101" s="31"/>
    </row>
    <row r="102" spans="1:21" ht="87" x14ac:dyDescent="0.95">
      <c r="A102" s="41" t="s">
        <v>48</v>
      </c>
      <c r="B102" s="39" t="s">
        <v>47</v>
      </c>
      <c r="C102" s="39" t="s">
        <v>46</v>
      </c>
      <c r="D102" s="39" t="s">
        <v>45</v>
      </c>
      <c r="E102" s="39" t="s">
        <v>44</v>
      </c>
      <c r="F102" s="39" t="s">
        <v>43</v>
      </c>
      <c r="G102" s="40" t="s">
        <v>42</v>
      </c>
      <c r="H102" s="40" t="s">
        <v>41</v>
      </c>
      <c r="I102" s="40" t="s">
        <v>42</v>
      </c>
      <c r="J102" s="39" t="s">
        <v>41</v>
      </c>
      <c r="L102" s="42"/>
      <c r="M102" s="29"/>
      <c r="N102" s="29"/>
      <c r="O102" s="31"/>
      <c r="P102" s="31"/>
      <c r="Q102" s="31"/>
      <c r="R102" s="31"/>
      <c r="S102" s="38"/>
      <c r="T102" s="31"/>
    </row>
    <row r="103" spans="1:21" ht="28.5" customHeight="1" x14ac:dyDescent="0.7">
      <c r="A103" s="217" t="s">
        <v>40</v>
      </c>
      <c r="B103" s="36">
        <v>1.5</v>
      </c>
      <c r="C103" s="36">
        <v>0.4</v>
      </c>
      <c r="D103" s="36">
        <v>0.7</v>
      </c>
      <c r="E103" s="53">
        <v>10</v>
      </c>
      <c r="F103" s="36">
        <v>0.35</v>
      </c>
      <c r="G103" s="36" t="s">
        <v>39</v>
      </c>
      <c r="H103" s="36" t="s">
        <v>38</v>
      </c>
      <c r="I103" s="36" t="s">
        <v>37</v>
      </c>
      <c r="J103" s="36" t="s">
        <v>36</v>
      </c>
      <c r="L103" s="42"/>
      <c r="M103" s="29"/>
      <c r="N103" s="29"/>
      <c r="O103" s="31"/>
      <c r="P103" s="31"/>
      <c r="Q103" s="31"/>
      <c r="R103" s="31"/>
      <c r="S103" s="31"/>
      <c r="T103" s="31"/>
    </row>
    <row r="104" spans="1:21" x14ac:dyDescent="0.7">
      <c r="L104" s="42"/>
      <c r="M104" s="29"/>
      <c r="N104" s="29"/>
      <c r="O104" s="31"/>
      <c r="P104" s="31"/>
      <c r="Q104" s="31"/>
      <c r="R104" s="35"/>
      <c r="S104" s="35"/>
      <c r="T104" s="35"/>
    </row>
    <row r="105" spans="1:21" x14ac:dyDescent="0.7">
      <c r="M105" s="29"/>
      <c r="N105" s="29"/>
      <c r="O105" s="31"/>
      <c r="P105" s="31"/>
      <c r="Q105" s="31"/>
      <c r="R105" s="31"/>
      <c r="S105" s="31"/>
      <c r="T105" s="31"/>
    </row>
    <row r="106" spans="1:21" x14ac:dyDescent="0.7">
      <c r="M106" s="29"/>
      <c r="N106" s="29"/>
      <c r="O106" s="31"/>
      <c r="P106" s="31"/>
      <c r="Q106" s="31"/>
      <c r="R106" s="31"/>
      <c r="S106" s="31"/>
      <c r="T106" s="31"/>
    </row>
    <row r="107" spans="1:21" x14ac:dyDescent="0.7">
      <c r="M107" s="29"/>
      <c r="N107" s="29"/>
      <c r="O107" s="31"/>
      <c r="P107" s="31"/>
      <c r="Q107" s="31"/>
      <c r="R107" s="31"/>
      <c r="S107" s="31"/>
      <c r="T107" s="31"/>
    </row>
    <row r="108" spans="1:21" x14ac:dyDescent="0.7">
      <c r="M108" s="29"/>
      <c r="N108" s="29"/>
      <c r="O108" s="31"/>
      <c r="P108" s="31"/>
      <c r="Q108" s="31"/>
      <c r="R108" s="34"/>
      <c r="S108" s="34"/>
      <c r="T108" s="34"/>
    </row>
    <row r="109" spans="1:21" x14ac:dyDescent="0.7">
      <c r="M109" s="29"/>
      <c r="N109" s="29"/>
      <c r="O109" s="31"/>
      <c r="P109" s="31"/>
      <c r="Q109" s="31"/>
    </row>
    <row r="110" spans="1:21" ht="27.75" customHeight="1" x14ac:dyDescent="0.7">
      <c r="M110" s="29"/>
      <c r="N110" s="29"/>
      <c r="O110" s="31"/>
      <c r="P110" s="31"/>
      <c r="Q110" s="31"/>
    </row>
    <row r="111" spans="1:21" ht="27.75" customHeight="1" x14ac:dyDescent="0.7"/>
    <row r="112" spans="1:21" x14ac:dyDescent="0.7">
      <c r="A112" s="214" t="s">
        <v>33</v>
      </c>
    </row>
    <row r="113" spans="1:28" ht="60.75" customHeight="1" x14ac:dyDescent="0.7">
      <c r="A113" s="51" t="s">
        <v>65</v>
      </c>
      <c r="B113" s="50" t="s">
        <v>64</v>
      </c>
      <c r="C113" s="49" t="s">
        <v>63</v>
      </c>
      <c r="D113" s="49" t="s">
        <v>62</v>
      </c>
      <c r="E113" s="49" t="s">
        <v>61</v>
      </c>
      <c r="F113" s="49" t="s">
        <v>60</v>
      </c>
      <c r="G113" s="39" t="s">
        <v>73</v>
      </c>
      <c r="H113" s="49" t="s">
        <v>58</v>
      </c>
      <c r="I113" s="48" t="s">
        <v>57</v>
      </c>
      <c r="M113" s="30"/>
      <c r="N113" s="30"/>
      <c r="O113" s="31"/>
      <c r="P113" s="31"/>
      <c r="Q113" s="31"/>
      <c r="R113" s="31"/>
      <c r="S113" s="31"/>
      <c r="T113" s="31"/>
      <c r="U113" s="31"/>
    </row>
    <row r="114" spans="1:28" x14ac:dyDescent="0.7">
      <c r="A114" s="47" t="s">
        <v>72</v>
      </c>
      <c r="B114" s="46" t="s">
        <v>71</v>
      </c>
      <c r="C114" s="45">
        <v>12</v>
      </c>
      <c r="D114" s="45">
        <v>44</v>
      </c>
      <c r="E114" s="45">
        <v>12</v>
      </c>
      <c r="F114" s="45">
        <v>0.95</v>
      </c>
      <c r="G114" s="44">
        <v>2</v>
      </c>
      <c r="H114" s="44">
        <f>D114/C114</f>
        <v>3.6666666666666665</v>
      </c>
      <c r="I114" s="44" t="s">
        <v>54</v>
      </c>
      <c r="M114" s="30"/>
      <c r="N114" s="30"/>
      <c r="O114" s="31"/>
      <c r="P114" s="31"/>
      <c r="Q114" s="31"/>
      <c r="R114" s="31"/>
      <c r="S114" s="31"/>
      <c r="T114" s="31"/>
      <c r="U114" s="31"/>
    </row>
    <row r="115" spans="1:28" ht="41.35" x14ac:dyDescent="0.7">
      <c r="A115" s="43" t="s">
        <v>53</v>
      </c>
      <c r="B115" s="442" t="s">
        <v>52</v>
      </c>
      <c r="C115" s="443"/>
      <c r="D115" s="443"/>
      <c r="E115" s="443"/>
      <c r="F115" s="444"/>
      <c r="G115" s="445" t="s">
        <v>51</v>
      </c>
      <c r="H115" s="446"/>
      <c r="I115" s="446"/>
      <c r="J115" s="447"/>
      <c r="M115" s="30"/>
      <c r="N115" s="30"/>
      <c r="O115" s="31"/>
      <c r="P115" s="31"/>
      <c r="Q115" s="31"/>
      <c r="R115" s="31"/>
      <c r="S115" s="31"/>
      <c r="T115" s="31"/>
      <c r="U115" s="31"/>
    </row>
    <row r="116" spans="1:28" ht="21" customHeight="1" x14ac:dyDescent="0.7">
      <c r="A116" s="41"/>
      <c r="B116" s="448"/>
      <c r="C116" s="443"/>
      <c r="D116" s="443"/>
      <c r="E116" s="443"/>
      <c r="F116" s="444"/>
      <c r="G116" s="449" t="s">
        <v>50</v>
      </c>
      <c r="H116" s="451"/>
      <c r="I116" s="449" t="s">
        <v>49</v>
      </c>
      <c r="J116" s="450"/>
      <c r="K116" s="42"/>
      <c r="L116" s="42"/>
      <c r="M116" s="29"/>
      <c r="N116" s="29"/>
      <c r="O116" s="31"/>
      <c r="P116" s="31"/>
      <c r="Q116" s="31"/>
      <c r="R116" s="31"/>
      <c r="S116" s="31"/>
      <c r="T116" s="38"/>
      <c r="U116" s="31"/>
    </row>
    <row r="117" spans="1:28" ht="87" x14ac:dyDescent="0.95">
      <c r="A117" s="41" t="s">
        <v>48</v>
      </c>
      <c r="B117" s="39" t="s">
        <v>47</v>
      </c>
      <c r="C117" s="39" t="s">
        <v>46</v>
      </c>
      <c r="D117" s="39" t="s">
        <v>45</v>
      </c>
      <c r="E117" s="39" t="s">
        <v>44</v>
      </c>
      <c r="F117" s="39" t="s">
        <v>43</v>
      </c>
      <c r="G117" s="40" t="s">
        <v>42</v>
      </c>
      <c r="H117" s="40" t="s">
        <v>41</v>
      </c>
      <c r="I117" s="40" t="s">
        <v>42</v>
      </c>
      <c r="J117" s="39" t="s">
        <v>41</v>
      </c>
      <c r="K117" s="42"/>
      <c r="L117" s="42"/>
      <c r="M117" s="29"/>
      <c r="R117" s="31"/>
      <c r="S117" s="38"/>
      <c r="T117" s="31"/>
    </row>
    <row r="118" spans="1:28" ht="27" customHeight="1" x14ac:dyDescent="0.7">
      <c r="A118" s="217" t="s">
        <v>70</v>
      </c>
      <c r="B118" s="36">
        <v>2</v>
      </c>
      <c r="C118" s="36">
        <v>0.4</v>
      </c>
      <c r="D118" s="36">
        <v>0.7</v>
      </c>
      <c r="E118" s="53">
        <v>10</v>
      </c>
      <c r="F118" s="36">
        <v>0.35</v>
      </c>
      <c r="G118" s="36" t="s">
        <v>69</v>
      </c>
      <c r="H118" s="36" t="s">
        <v>68</v>
      </c>
      <c r="I118" s="36" t="s">
        <v>67</v>
      </c>
      <c r="J118" s="36" t="s">
        <v>66</v>
      </c>
      <c r="K118" s="42"/>
      <c r="L118" s="42"/>
      <c r="M118" s="29"/>
      <c r="R118" s="31"/>
      <c r="S118" s="31"/>
      <c r="T118" s="31"/>
    </row>
    <row r="119" spans="1:28" x14ac:dyDescent="0.7">
      <c r="K119" s="42"/>
      <c r="L119" s="42"/>
      <c r="M119" s="29"/>
      <c r="R119" s="35"/>
      <c r="S119" s="35"/>
      <c r="T119" s="35"/>
    </row>
    <row r="120" spans="1:28" x14ac:dyDescent="0.7">
      <c r="K120" s="42"/>
      <c r="L120" s="42"/>
      <c r="M120" s="29"/>
      <c r="R120" s="31"/>
      <c r="S120" s="31"/>
      <c r="T120" s="31"/>
    </row>
    <row r="121" spans="1:28" x14ac:dyDescent="0.7">
      <c r="K121" s="42"/>
      <c r="L121" s="42"/>
      <c r="M121" s="29"/>
      <c r="R121" s="31"/>
      <c r="S121" s="31"/>
      <c r="T121" s="31"/>
    </row>
    <row r="122" spans="1:28" x14ac:dyDescent="0.7">
      <c r="R122" s="31"/>
      <c r="S122" s="31"/>
      <c r="T122" s="31"/>
    </row>
    <row r="123" spans="1:28" x14ac:dyDescent="0.7">
      <c r="R123" s="34"/>
      <c r="S123" s="34"/>
      <c r="T123" s="34"/>
    </row>
    <row r="125" spans="1:28" x14ac:dyDescent="0.7">
      <c r="AB125" s="52"/>
    </row>
    <row r="127" spans="1:28" x14ac:dyDescent="0.7">
      <c r="A127" s="214" t="s">
        <v>34</v>
      </c>
    </row>
    <row r="128" spans="1:28" ht="60.75" customHeight="1" x14ac:dyDescent="0.7">
      <c r="A128" s="51" t="s">
        <v>65</v>
      </c>
      <c r="B128" s="50" t="s">
        <v>64</v>
      </c>
      <c r="C128" s="49" t="s">
        <v>63</v>
      </c>
      <c r="D128" s="49" t="s">
        <v>62</v>
      </c>
      <c r="E128" s="49" t="s">
        <v>61</v>
      </c>
      <c r="F128" s="49" t="s">
        <v>60</v>
      </c>
      <c r="G128" s="49" t="s">
        <v>59</v>
      </c>
      <c r="H128" s="49" t="s">
        <v>58</v>
      </c>
      <c r="I128" s="48" t="s">
        <v>57</v>
      </c>
      <c r="M128" s="30"/>
      <c r="N128" s="30"/>
      <c r="O128" s="31"/>
      <c r="P128" s="31"/>
      <c r="Q128" s="31"/>
      <c r="R128" s="31"/>
      <c r="S128" s="31"/>
      <c r="T128" s="31"/>
      <c r="U128" s="31"/>
    </row>
    <row r="129" spans="1:38" x14ac:dyDescent="0.7">
      <c r="A129" s="47" t="s">
        <v>56</v>
      </c>
      <c r="B129" s="46" t="s">
        <v>55</v>
      </c>
      <c r="C129" s="45">
        <v>4</v>
      </c>
      <c r="D129" s="45">
        <v>37</v>
      </c>
      <c r="E129" s="45">
        <v>10</v>
      </c>
      <c r="F129" s="45">
        <v>-2.1</v>
      </c>
      <c r="G129" s="37">
        <v>0</v>
      </c>
      <c r="H129" s="44">
        <v>3.7</v>
      </c>
      <c r="I129" s="44" t="s">
        <v>54</v>
      </c>
      <c r="M129" s="30"/>
      <c r="N129" s="30"/>
      <c r="O129" s="31"/>
      <c r="P129" s="31"/>
      <c r="Q129" s="31"/>
      <c r="R129" s="31"/>
      <c r="S129" s="31"/>
      <c r="T129" s="31"/>
      <c r="U129" s="31"/>
    </row>
    <row r="130" spans="1:38" ht="41.35" x14ac:dyDescent="0.7">
      <c r="A130" s="43" t="s">
        <v>53</v>
      </c>
      <c r="B130" s="442" t="s">
        <v>52</v>
      </c>
      <c r="C130" s="443"/>
      <c r="D130" s="443"/>
      <c r="E130" s="443"/>
      <c r="F130" s="444"/>
      <c r="G130" s="445" t="s">
        <v>51</v>
      </c>
      <c r="H130" s="446"/>
      <c r="I130" s="446"/>
      <c r="J130" s="447"/>
      <c r="M130" s="30"/>
      <c r="N130" s="30"/>
      <c r="O130" s="31"/>
      <c r="P130" s="31"/>
      <c r="Q130" s="31"/>
      <c r="R130" s="31"/>
      <c r="S130" s="31"/>
      <c r="T130" s="31"/>
      <c r="U130" s="31"/>
    </row>
    <row r="131" spans="1:38" ht="21" customHeight="1" x14ac:dyDescent="0.7">
      <c r="A131" s="41"/>
      <c r="B131" s="448"/>
      <c r="C131" s="443"/>
      <c r="D131" s="443"/>
      <c r="E131" s="443"/>
      <c r="F131" s="444"/>
      <c r="G131" s="449" t="s">
        <v>50</v>
      </c>
      <c r="H131" s="451"/>
      <c r="I131" s="449" t="s">
        <v>49</v>
      </c>
      <c r="J131" s="450"/>
      <c r="K131" s="42"/>
      <c r="L131" s="42"/>
      <c r="M131" s="29"/>
      <c r="N131" s="29"/>
      <c r="O131" s="31"/>
      <c r="P131" s="31"/>
      <c r="Q131" s="31"/>
      <c r="R131" s="31"/>
      <c r="S131" s="31"/>
      <c r="T131" s="38"/>
      <c r="U131" s="31"/>
    </row>
    <row r="132" spans="1:38" ht="87" x14ac:dyDescent="0.95">
      <c r="A132" s="41" t="s">
        <v>48</v>
      </c>
      <c r="B132" s="39" t="s">
        <v>47</v>
      </c>
      <c r="C132" s="39" t="s">
        <v>46</v>
      </c>
      <c r="D132" s="39" t="s">
        <v>45</v>
      </c>
      <c r="E132" s="39" t="s">
        <v>44</v>
      </c>
      <c r="F132" s="39" t="s">
        <v>43</v>
      </c>
      <c r="G132" s="40" t="s">
        <v>42</v>
      </c>
      <c r="H132" s="40" t="s">
        <v>41</v>
      </c>
      <c r="I132" s="40" t="s">
        <v>42</v>
      </c>
      <c r="J132" s="39" t="s">
        <v>41</v>
      </c>
      <c r="R132" s="31"/>
      <c r="S132" s="38"/>
      <c r="T132" s="31"/>
    </row>
    <row r="133" spans="1:38" ht="27.75" customHeight="1" x14ac:dyDescent="0.7">
      <c r="A133" s="217" t="s">
        <v>40</v>
      </c>
      <c r="B133" s="36">
        <v>1.5</v>
      </c>
      <c r="C133" s="36">
        <v>0.4</v>
      </c>
      <c r="D133" s="36">
        <v>0.7</v>
      </c>
      <c r="E133" s="37">
        <v>10</v>
      </c>
      <c r="F133" s="36">
        <v>0.35</v>
      </c>
      <c r="G133" s="36" t="s">
        <v>39</v>
      </c>
      <c r="H133" s="36" t="s">
        <v>38</v>
      </c>
      <c r="I133" s="36" t="s">
        <v>37</v>
      </c>
      <c r="J133" s="36" t="s">
        <v>36</v>
      </c>
      <c r="R133" s="31"/>
      <c r="S133" s="31"/>
      <c r="T133" s="31"/>
    </row>
    <row r="134" spans="1:38" x14ac:dyDescent="0.7">
      <c r="M134" s="31"/>
      <c r="R134" s="35"/>
      <c r="S134" s="35"/>
      <c r="T134" s="35"/>
    </row>
    <row r="135" spans="1:38" x14ac:dyDescent="0.7">
      <c r="M135" s="31"/>
      <c r="R135" s="31"/>
      <c r="S135" s="31"/>
      <c r="T135" s="31"/>
    </row>
    <row r="136" spans="1:38" x14ac:dyDescent="0.7">
      <c r="M136" s="31"/>
      <c r="R136" s="31"/>
      <c r="S136" s="31"/>
      <c r="T136" s="31"/>
    </row>
    <row r="137" spans="1:38" x14ac:dyDescent="0.7">
      <c r="M137" s="31"/>
      <c r="R137" s="31"/>
      <c r="S137" s="31"/>
      <c r="T137" s="31"/>
    </row>
    <row r="138" spans="1:38" x14ac:dyDescent="0.7">
      <c r="M138" s="31"/>
      <c r="R138" s="34"/>
      <c r="S138" s="34"/>
      <c r="T138" s="34"/>
    </row>
    <row r="139" spans="1:38" x14ac:dyDescent="0.7">
      <c r="M139" s="31"/>
    </row>
    <row r="140" spans="1:38" ht="27.75" customHeight="1" x14ac:dyDescent="0.7"/>
    <row r="141" spans="1:38" x14ac:dyDescent="0.7">
      <c r="N141" s="30"/>
    </row>
    <row r="142" spans="1:38" x14ac:dyDescent="0.7">
      <c r="N142" s="30"/>
    </row>
    <row r="143" spans="1:38" x14ac:dyDescent="0.7">
      <c r="N143" s="30"/>
    </row>
    <row r="144" spans="1:38" x14ac:dyDescent="0.7">
      <c r="A144" s="33"/>
      <c r="B144" s="33" t="s">
        <v>35</v>
      </c>
      <c r="C144" s="33"/>
      <c r="D144" s="33"/>
      <c r="E144" s="33"/>
      <c r="F144" s="33"/>
      <c r="G144" s="33"/>
      <c r="H144" s="33"/>
      <c r="I144" s="33"/>
      <c r="J144" s="32"/>
      <c r="K144" s="32"/>
      <c r="L144" s="31"/>
      <c r="M144" s="31"/>
      <c r="N144" s="30"/>
      <c r="O144" s="29"/>
      <c r="P144" s="29"/>
      <c r="Q144" s="29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</row>
  </sheetData>
  <mergeCells count="50">
    <mergeCell ref="G116:H116"/>
    <mergeCell ref="G131:H131"/>
    <mergeCell ref="B130:F130"/>
    <mergeCell ref="G130:J130"/>
    <mergeCell ref="B116:F116"/>
    <mergeCell ref="I116:J116"/>
    <mergeCell ref="B131:F131"/>
    <mergeCell ref="I131:J131"/>
    <mergeCell ref="I62:J62"/>
    <mergeCell ref="G62:H62"/>
    <mergeCell ref="B100:F100"/>
    <mergeCell ref="G100:J100"/>
    <mergeCell ref="B89:F89"/>
    <mergeCell ref="I89:J89"/>
    <mergeCell ref="B88:F88"/>
    <mergeCell ref="B75:F75"/>
    <mergeCell ref="I75:J75"/>
    <mergeCell ref="G75:H75"/>
    <mergeCell ref="G89:H89"/>
    <mergeCell ref="B7:F7"/>
    <mergeCell ref="B21:F21"/>
    <mergeCell ref="I21:J21"/>
    <mergeCell ref="B34:F34"/>
    <mergeCell ref="I34:J34"/>
    <mergeCell ref="B8:F8"/>
    <mergeCell ref="B20:F20"/>
    <mergeCell ref="B33:F33"/>
    <mergeCell ref="G8:H8"/>
    <mergeCell ref="I8:J8"/>
    <mergeCell ref="G7:J7"/>
    <mergeCell ref="G21:H21"/>
    <mergeCell ref="G34:H34"/>
    <mergeCell ref="G20:J20"/>
    <mergeCell ref="G33:J33"/>
    <mergeCell ref="B115:F115"/>
    <mergeCell ref="G115:J115"/>
    <mergeCell ref="B47:F47"/>
    <mergeCell ref="B61:F61"/>
    <mergeCell ref="B101:F101"/>
    <mergeCell ref="I101:J101"/>
    <mergeCell ref="B48:F48"/>
    <mergeCell ref="I48:J48"/>
    <mergeCell ref="G48:H48"/>
    <mergeCell ref="G47:J47"/>
    <mergeCell ref="G101:H101"/>
    <mergeCell ref="B74:F74"/>
    <mergeCell ref="G61:J61"/>
    <mergeCell ref="G74:J74"/>
    <mergeCell ref="G88:J88"/>
    <mergeCell ref="B62:F62"/>
  </mergeCells>
  <pageMargins left="0" right="0" top="0" bottom="0" header="0" footer="0"/>
  <pageSetup paperSize="9" scale="27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"/>
  <sheetViews>
    <sheetView workbookViewId="0">
      <selection activeCell="A2" sqref="A2:A3"/>
    </sheetView>
  </sheetViews>
  <sheetFormatPr defaultColWidth="8.8203125" defaultRowHeight="14.35" x14ac:dyDescent="0.5"/>
  <cols>
    <col min="1" max="1" width="12.64453125" bestFit="1" customWidth="1"/>
    <col min="3" max="3" width="15.17578125" bestFit="1" customWidth="1"/>
  </cols>
  <sheetData>
    <row r="1" spans="1:3" x14ac:dyDescent="0.35">
      <c r="A1" s="71" t="s">
        <v>118</v>
      </c>
      <c r="C1" s="71" t="s">
        <v>136</v>
      </c>
    </row>
    <row r="2" spans="1:3" x14ac:dyDescent="0.35">
      <c r="A2" s="83" t="s">
        <v>114</v>
      </c>
      <c r="C2" t="s">
        <v>135</v>
      </c>
    </row>
    <row r="3" spans="1:3" x14ac:dyDescent="0.35">
      <c r="A3" s="83" t="s">
        <v>115</v>
      </c>
      <c r="C3" t="s">
        <v>132</v>
      </c>
    </row>
    <row r="4" spans="1:3" x14ac:dyDescent="0.35">
      <c r="C4" t="s">
        <v>133</v>
      </c>
    </row>
    <row r="5" spans="1:3" x14ac:dyDescent="0.35">
      <c r="C5" t="s">
        <v>134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5</vt:i4>
      </vt:variant>
    </vt:vector>
  </HeadingPairs>
  <TitlesOfParts>
    <vt:vector size="11" baseType="lpstr">
      <vt:lpstr>Dati in input</vt:lpstr>
      <vt:lpstr>Foglio di calcolo</vt:lpstr>
      <vt:lpstr>Prezzi smart adaptive lighting</vt:lpstr>
      <vt:lpstr>Prezzi servizi "smart"</vt:lpstr>
      <vt:lpstr>Dettaglio strade (ENEA)</vt:lpstr>
      <vt:lpstr>Foglio 1</vt:lpstr>
      <vt:lpstr>'Dettaglio strade (ENEA)'!Area_stampa</vt:lpstr>
      <vt:lpstr>manut</vt:lpstr>
      <vt:lpstr>Nome</vt:lpstr>
      <vt:lpstr>pacchetti</vt:lpstr>
      <vt:lpstr>software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Melinda</dc:creator>
  <cp:lastModifiedBy>Osea</cp:lastModifiedBy>
  <dcterms:created xsi:type="dcterms:W3CDTF">2017-05-20T10:01:32Z</dcterms:created>
  <dcterms:modified xsi:type="dcterms:W3CDTF">2018-10-03T08:54:09Z</dcterms:modified>
</cp:coreProperties>
</file>