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Questa_cartella_di_lavoro" defaultThemeVersion="164011"/>
  <mc:AlternateContent xmlns:mc="http://schemas.openxmlformats.org/markup-compatibility/2006">
    <mc:Choice Requires="x15">
      <x15ac:absPath xmlns:x15ac="http://schemas.microsoft.com/office/spreadsheetml/2010/11/ac" url="C:\Users\Marco\Desktop\"/>
    </mc:Choice>
  </mc:AlternateContent>
  <bookViews>
    <workbookView xWindow="0" yWindow="460" windowWidth="51200" windowHeight="26940" activeTab="1"/>
  </bookViews>
  <sheets>
    <sheet name="Dati in input" sheetId="29" r:id="rId1"/>
    <sheet name="Autofinanziamento" sheetId="11" r:id="rId2"/>
    <sheet name="Prezzi smart adaptive lighting" sheetId="1" r:id="rId3"/>
    <sheet name="Prezzi servizi &quot;smart&quot;" sheetId="27" r:id="rId4"/>
    <sheet name="Dettaglio strade (ENEA)" sheetId="4" r:id="rId5"/>
    <sheet name="Foglio 1" sheetId="10" state="hidden" r:id="rId6"/>
  </sheets>
  <externalReferences>
    <externalReference r:id="rId7"/>
  </externalReferences>
  <definedNames>
    <definedName name="_xlnm.Print_Area" localSheetId="4">'Dettaglio strade (ENEA)'!$A$1:$AD$144</definedName>
    <definedName name="DataFineEffettiva">[1]Attivita!$H$7</definedName>
    <definedName name="DataFineObiettivo">[1]Attivita!$C$7</definedName>
    <definedName name="DataInizioObiettivo">[1]Attivita!$C$6</definedName>
    <definedName name="Frase01">[1]Calcoli!$IE$21</definedName>
    <definedName name="Frase02">[1]Calcoli!$IF$21</definedName>
    <definedName name="Frase03">[1]Calcoli!$IG$21</definedName>
    <definedName name="manut">'Foglio 1'!$A$2:$A$3</definedName>
    <definedName name="Nome">'Prezzi smart adaptive lighting'!$B$5:$B$8</definedName>
    <definedName name="pacchetti">'Prezzi smart adaptive lighting'!$B$16:$B$20</definedName>
    <definedName name="software">'Foglio 1'!$C$2:$C$5</definedName>
  </definedNames>
  <calcPr calcId="162913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147" i="11" l="1"/>
  <c r="F36" i="1"/>
  <c r="D91" i="11" l="1"/>
  <c r="F32" i="1" l="1"/>
  <c r="D92" i="11" s="1"/>
  <c r="F30" i="1"/>
  <c r="F35" i="1" l="1"/>
  <c r="D110" i="11" l="1"/>
  <c r="D10" i="27"/>
  <c r="D109" i="11"/>
  <c r="D108" i="11"/>
  <c r="F34" i="1"/>
  <c r="G32" i="11"/>
  <c r="D95" i="11" s="1"/>
  <c r="H44" i="11"/>
  <c r="H57" i="11" s="1"/>
  <c r="H45" i="11"/>
  <c r="H46" i="11"/>
  <c r="F33" i="11"/>
  <c r="F33" i="1"/>
  <c r="G27" i="11"/>
  <c r="G28" i="11"/>
  <c r="G29" i="11"/>
  <c r="K6" i="11"/>
  <c r="K8" i="11"/>
  <c r="K21" i="11" s="1"/>
  <c r="D71" i="11" s="1"/>
  <c r="K10" i="11"/>
  <c r="K11" i="11"/>
  <c r="L11" i="11" s="1"/>
  <c r="K12" i="11"/>
  <c r="K13" i="11"/>
  <c r="K14" i="11"/>
  <c r="K15" i="11"/>
  <c r="L15" i="11" s="1"/>
  <c r="F28" i="1"/>
  <c r="F29" i="1"/>
  <c r="D89" i="11"/>
  <c r="F31" i="1"/>
  <c r="D90" i="11"/>
  <c r="L6" i="11"/>
  <c r="L8" i="11"/>
  <c r="L9" i="11"/>
  <c r="L21" i="11" s="1"/>
  <c r="L10" i="11"/>
  <c r="L12" i="11"/>
  <c r="L13" i="11"/>
  <c r="L14" i="11"/>
  <c r="L16" i="11"/>
  <c r="L17" i="11"/>
  <c r="L18" i="11"/>
  <c r="L19" i="11"/>
  <c r="L20" i="11"/>
  <c r="H48" i="11"/>
  <c r="H49" i="11"/>
  <c r="D98" i="11"/>
  <c r="H50" i="11"/>
  <c r="D99" i="11" s="1"/>
  <c r="H51" i="11"/>
  <c r="D100" i="11" s="1"/>
  <c r="H52" i="11"/>
  <c r="H53" i="11"/>
  <c r="H55" i="11"/>
  <c r="D101" i="11"/>
  <c r="H56" i="11"/>
  <c r="D102" i="11" s="1"/>
  <c r="H65" i="11"/>
  <c r="D103" i="11"/>
  <c r="H60" i="11"/>
  <c r="H54" i="11"/>
  <c r="D104" i="11"/>
  <c r="H61" i="11"/>
  <c r="D105" i="11" s="1"/>
  <c r="H66" i="11"/>
  <c r="D106" i="11"/>
  <c r="K16" i="11"/>
  <c r="K17" i="11"/>
  <c r="K18" i="11"/>
  <c r="K19" i="11"/>
  <c r="K20" i="11"/>
  <c r="G96" i="11"/>
  <c r="G97" i="11" s="1"/>
  <c r="G98" i="11" s="1"/>
  <c r="G95" i="11"/>
  <c r="H132" i="11" s="1"/>
  <c r="H369" i="29"/>
  <c r="H371" i="29"/>
  <c r="H372" i="29"/>
  <c r="H370" i="29"/>
  <c r="H358" i="29"/>
  <c r="H356" i="29"/>
  <c r="H357" i="29"/>
  <c r="H337" i="29"/>
  <c r="H335" i="29"/>
  <c r="H336" i="29"/>
  <c r="H317" i="29"/>
  <c r="H315" i="29"/>
  <c r="H316" i="29"/>
  <c r="H297" i="29"/>
  <c r="H295" i="29"/>
  <c r="H296" i="29"/>
  <c r="H277" i="29"/>
  <c r="H275" i="29"/>
  <c r="H276" i="29"/>
  <c r="H257" i="29"/>
  <c r="H255" i="29"/>
  <c r="H256" i="29"/>
  <c r="H237" i="29"/>
  <c r="H235" i="29"/>
  <c r="H236" i="29"/>
  <c r="H217" i="29"/>
  <c r="H215" i="29"/>
  <c r="H216" i="29"/>
  <c r="H197" i="29"/>
  <c r="H196" i="29"/>
  <c r="H176" i="29"/>
  <c r="H195" i="29"/>
  <c r="H175" i="29"/>
  <c r="H177" i="29"/>
  <c r="H170" i="29"/>
  <c r="H169" i="29"/>
  <c r="H159" i="29"/>
  <c r="H160" i="29"/>
  <c r="H143" i="29"/>
  <c r="H144" i="29"/>
  <c r="H126" i="29"/>
  <c r="H127" i="29"/>
  <c r="H110" i="29"/>
  <c r="H111" i="29"/>
  <c r="H94" i="29"/>
  <c r="H95" i="29"/>
  <c r="H78" i="29"/>
  <c r="H79" i="29"/>
  <c r="H61" i="29"/>
  <c r="H62" i="29"/>
  <c r="H45" i="29"/>
  <c r="H46" i="29"/>
  <c r="H29" i="29"/>
  <c r="H28" i="29"/>
  <c r="D123" i="11"/>
  <c r="D80" i="11"/>
  <c r="D74" i="11"/>
  <c r="D78" i="11"/>
  <c r="D81" i="11"/>
  <c r="D82" i="11"/>
  <c r="D84" i="11"/>
  <c r="D85" i="11"/>
  <c r="G88" i="11"/>
  <c r="E133" i="11"/>
  <c r="E171" i="11" s="1"/>
  <c r="E134" i="11"/>
  <c r="G110" i="11"/>
  <c r="F133" i="11"/>
  <c r="F171" i="11" s="1"/>
  <c r="F134" i="11"/>
  <c r="G133" i="11"/>
  <c r="G134" i="11"/>
  <c r="H133" i="11"/>
  <c r="H171" i="11" s="1"/>
  <c r="H134" i="11"/>
  <c r="I133" i="11"/>
  <c r="I171" i="11" s="1"/>
  <c r="I132" i="11"/>
  <c r="I170" i="11" s="1"/>
  <c r="I134" i="11"/>
  <c r="J133" i="11"/>
  <c r="J171" i="11" s="1"/>
  <c r="J134" i="11"/>
  <c r="K133" i="11"/>
  <c r="K134" i="11"/>
  <c r="L133" i="11"/>
  <c r="L134" i="11"/>
  <c r="M133" i="11"/>
  <c r="M132" i="11"/>
  <c r="M170" i="11" s="1"/>
  <c r="M134" i="11"/>
  <c r="N133" i="11"/>
  <c r="N171" i="11" s="1"/>
  <c r="N134" i="11"/>
  <c r="O133" i="11"/>
  <c r="O171" i="11" s="1"/>
  <c r="O134" i="11"/>
  <c r="P133" i="11"/>
  <c r="P134" i="11"/>
  <c r="Q133" i="11"/>
  <c r="Q171" i="11" s="1"/>
  <c r="Q132" i="11"/>
  <c r="Q134" i="11"/>
  <c r="R133" i="11"/>
  <c r="R134" i="11"/>
  <c r="S133" i="11"/>
  <c r="S134" i="11"/>
  <c r="D39" i="11"/>
  <c r="D17" i="27"/>
  <c r="E117" i="11"/>
  <c r="H21" i="11"/>
  <c r="E33" i="11"/>
  <c r="E31" i="11"/>
  <c r="F31" i="11"/>
  <c r="H67" i="11"/>
  <c r="G67" i="11"/>
  <c r="G62" i="11"/>
  <c r="D73" i="11"/>
  <c r="D76" i="11"/>
  <c r="D79" i="11"/>
  <c r="G57" i="11"/>
  <c r="E6" i="11"/>
  <c r="E7" i="11"/>
  <c r="E8" i="11"/>
  <c r="E9" i="11"/>
  <c r="E10" i="11"/>
  <c r="E11" i="11"/>
  <c r="E12" i="11"/>
  <c r="E13" i="11"/>
  <c r="E14" i="11"/>
  <c r="E15" i="11"/>
  <c r="D83" i="11"/>
  <c r="D77" i="11"/>
  <c r="D21" i="11"/>
  <c r="G30" i="11"/>
  <c r="H32" i="11"/>
  <c r="H27" i="11"/>
  <c r="F25" i="11"/>
  <c r="G33" i="11"/>
  <c r="E119" i="11"/>
  <c r="G6" i="4"/>
  <c r="G19" i="4"/>
  <c r="H46" i="4"/>
  <c r="H60" i="4"/>
  <c r="H73" i="4"/>
  <c r="H87" i="4"/>
  <c r="H114" i="4"/>
  <c r="G102" i="11"/>
  <c r="G104" i="11" s="1"/>
  <c r="H172" i="11" s="1"/>
  <c r="G172" i="11"/>
  <c r="R171" i="11"/>
  <c r="L171" i="11"/>
  <c r="G171" i="11"/>
  <c r="P171" i="11"/>
  <c r="S171" i="11"/>
  <c r="M171" i="11"/>
  <c r="K171" i="11"/>
  <c r="D177" i="11" l="1"/>
  <c r="G31" i="11"/>
  <c r="D94" i="11"/>
  <c r="Q135" i="11"/>
  <c r="D72" i="11"/>
  <c r="G109" i="11" s="1"/>
  <c r="D75" i="11"/>
  <c r="N172" i="11"/>
  <c r="S172" i="11"/>
  <c r="O172" i="11"/>
  <c r="K172" i="11"/>
  <c r="L172" i="11"/>
  <c r="F172" i="11"/>
  <c r="M172" i="11"/>
  <c r="Q172" i="11"/>
  <c r="R172" i="11"/>
  <c r="I172" i="11"/>
  <c r="E172" i="11"/>
  <c r="J172" i="11"/>
  <c r="P172" i="11"/>
  <c r="H135" i="11"/>
  <c r="H170" i="11"/>
  <c r="D93" i="11"/>
  <c r="D88" i="11"/>
  <c r="G86" i="11"/>
  <c r="D107" i="11"/>
  <c r="P132" i="11"/>
  <c r="L132" i="11"/>
  <c r="Q170" i="11"/>
  <c r="S132" i="11"/>
  <c r="O132" i="11"/>
  <c r="M135" i="11"/>
  <c r="K132" i="11"/>
  <c r="I135" i="11"/>
  <c r="G132" i="11"/>
  <c r="D97" i="11"/>
  <c r="H62" i="11"/>
  <c r="R132" i="11"/>
  <c r="N132" i="11"/>
  <c r="J132" i="11"/>
  <c r="F132" i="11"/>
  <c r="E132" i="11"/>
  <c r="D185" i="11" l="1"/>
  <c r="D113" i="11"/>
  <c r="J135" i="11"/>
  <c r="J170" i="11"/>
  <c r="L135" i="11"/>
  <c r="L170" i="11"/>
  <c r="N170" i="11"/>
  <c r="N135" i="11"/>
  <c r="O170" i="11"/>
  <c r="O135" i="11"/>
  <c r="S135" i="11"/>
  <c r="S170" i="11"/>
  <c r="D96" i="11"/>
  <c r="G113" i="11"/>
  <c r="G170" i="11"/>
  <c r="G135" i="11"/>
  <c r="P135" i="11"/>
  <c r="P170" i="11"/>
  <c r="E135" i="11"/>
  <c r="E170" i="11"/>
  <c r="R170" i="11"/>
  <c r="R135" i="11"/>
  <c r="F170" i="11"/>
  <c r="F135" i="11"/>
  <c r="K170" i="11"/>
  <c r="K135" i="11"/>
  <c r="G85" i="11"/>
  <c r="G87" i="11" s="1"/>
  <c r="D178" i="11"/>
  <c r="G137" i="11"/>
  <c r="K137" i="11"/>
  <c r="O137" i="11"/>
  <c r="S137" i="11"/>
  <c r="I137" i="11"/>
  <c r="E137" i="11"/>
  <c r="H137" i="11"/>
  <c r="L137" i="11"/>
  <c r="P137" i="11"/>
  <c r="M137" i="11"/>
  <c r="Q137" i="11"/>
  <c r="F137" i="11"/>
  <c r="J137" i="11"/>
  <c r="N137" i="11"/>
  <c r="R137" i="11"/>
  <c r="D130" i="11" l="1"/>
  <c r="D141" i="11" s="1"/>
  <c r="D181" i="11"/>
  <c r="D183" i="11"/>
  <c r="D176" i="11"/>
  <c r="F139" i="11"/>
  <c r="F141" i="11" s="1"/>
  <c r="F142" i="11" s="1"/>
  <c r="F138" i="11"/>
  <c r="J138" i="11"/>
  <c r="J139" i="11" s="1"/>
  <c r="J141" i="11" s="1"/>
  <c r="J142" i="11" s="1"/>
  <c r="N138" i="11"/>
  <c r="N139" i="11" s="1"/>
  <c r="N141" i="11" s="1"/>
  <c r="N142" i="11" s="1"/>
  <c r="R138" i="11"/>
  <c r="R139" i="11" s="1"/>
  <c r="R141" i="11" s="1"/>
  <c r="R142" i="11" s="1"/>
  <c r="H138" i="11"/>
  <c r="H139" i="11" s="1"/>
  <c r="H141" i="11" s="1"/>
  <c r="H142" i="11" s="1"/>
  <c r="L138" i="11"/>
  <c r="L139" i="11" s="1"/>
  <c r="L141" i="11" s="1"/>
  <c r="L142" i="11" s="1"/>
  <c r="P138" i="11"/>
  <c r="P139" i="11" s="1"/>
  <c r="P141" i="11" s="1"/>
  <c r="P142" i="11" s="1"/>
  <c r="E138" i="11"/>
  <c r="E139" i="11" s="1"/>
  <c r="E141" i="11" s="1"/>
  <c r="E142" i="11" s="1"/>
  <c r="I138" i="11"/>
  <c r="I139" i="11" s="1"/>
  <c r="I141" i="11" s="1"/>
  <c r="I142" i="11" s="1"/>
  <c r="M138" i="11"/>
  <c r="M139" i="11" s="1"/>
  <c r="M141" i="11" s="1"/>
  <c r="M142" i="11" s="1"/>
  <c r="Q138" i="11"/>
  <c r="Q139" i="11" s="1"/>
  <c r="Q141" i="11" s="1"/>
  <c r="Q142" i="11" s="1"/>
  <c r="G138" i="11"/>
  <c r="G139" i="11" s="1"/>
  <c r="G141" i="11" s="1"/>
  <c r="G142" i="11" s="1"/>
  <c r="K138" i="11"/>
  <c r="K139" i="11" s="1"/>
  <c r="K141" i="11" s="1"/>
  <c r="K142" i="11" s="1"/>
  <c r="O138" i="11"/>
  <c r="O139" i="11" s="1"/>
  <c r="O141" i="11" s="1"/>
  <c r="O142" i="11" s="1"/>
  <c r="S138" i="11"/>
  <c r="S139" i="11" s="1"/>
  <c r="S141" i="11" s="1"/>
  <c r="S142" i="11" s="1"/>
  <c r="D142" i="11" l="1"/>
  <c r="D143" i="11" l="1"/>
  <c r="D146" i="11"/>
  <c r="E143" i="11" l="1"/>
  <c r="F143" i="11" s="1"/>
  <c r="G143" i="11" s="1"/>
  <c r="H143" i="11" s="1"/>
  <c r="I143" i="11" s="1"/>
  <c r="J143" i="11" s="1"/>
  <c r="K143" i="11" s="1"/>
  <c r="L143" i="11" s="1"/>
  <c r="M143" i="11" s="1"/>
  <c r="N143" i="11" s="1"/>
  <c r="O143" i="11" s="1"/>
  <c r="P143" i="11" s="1"/>
  <c r="Q143" i="11" s="1"/>
  <c r="R143" i="11" s="1"/>
  <c r="S143" i="11" s="1"/>
  <c r="D148" i="11"/>
</calcChain>
</file>

<file path=xl/comments1.xml><?xml version="1.0" encoding="utf-8"?>
<comments xmlns="http://schemas.openxmlformats.org/spreadsheetml/2006/main">
  <authors>
    <author>Laura Blaso</author>
  </authors>
  <commentList>
    <comment ref="F12" authorId="0" shapeId="0">
      <text>
        <r>
          <rPr>
            <b/>
            <sz val="9"/>
            <color indexed="81"/>
            <rFont val="Tahoma"/>
            <family val="2"/>
          </rPr>
          <t>Laura Blaso:</t>
        </r>
        <r>
          <rPr>
            <sz val="9"/>
            <color indexed="81"/>
            <rFont val="Tahoma"/>
            <family val="2"/>
          </rPr>
          <t xml:space="preserve">
la numerazione del civico è la stessa perché è lo stesso tratto di strada ma ci sono differenti tipologie di apparecchio con la stessa sorgentie ma potenza differente per lo stato di fatto e di riqualificazione</t>
        </r>
      </text>
    </comment>
    <comment ref="E28" authorId="0" shapeId="0">
      <text>
        <r>
          <rPr>
            <b/>
            <sz val="9"/>
            <color indexed="81"/>
            <rFont val="Tahoma"/>
            <family val="2"/>
          </rPr>
          <t>Laura Blaso: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20"/>
            <color indexed="81"/>
            <rFont val="Tahoma"/>
            <family val="2"/>
          </rPr>
          <t>i prezzi sono dedotti dal prezziario nazionale</t>
        </r>
      </text>
    </comment>
  </commentList>
</comments>
</file>

<file path=xl/comments2.xml><?xml version="1.0" encoding="utf-8"?>
<comments xmlns="http://schemas.openxmlformats.org/spreadsheetml/2006/main">
  <authors>
    <author>Marco</author>
    <author>Simone Franzò</author>
  </authors>
  <commentList>
    <comment ref="K7" authorId="0" shapeId="0">
      <text>
        <r>
          <rPr>
            <b/>
            <sz val="9"/>
            <color indexed="81"/>
            <rFont val="Tahoma"/>
            <family val="2"/>
          </rPr>
          <t>Marco:</t>
        </r>
        <r>
          <rPr>
            <sz val="9"/>
            <color indexed="81"/>
            <rFont val="Tahoma"/>
            <family val="2"/>
          </rPr>
          <t xml:space="preserve">
Forzato</t>
        </r>
      </text>
    </comment>
    <comment ref="F26" authorId="1" shapeId="0">
      <text>
        <r>
          <rPr>
            <b/>
            <sz val="10"/>
            <color indexed="81"/>
            <rFont val="Calibri"/>
            <family val="2"/>
          </rPr>
          <t>E&amp;S: compilare con il numero di sensori che si intende installare</t>
        </r>
        <r>
          <rPr>
            <sz val="10"/>
            <color indexed="81"/>
            <rFont val="Calibri"/>
            <family val="2"/>
          </rPr>
          <t xml:space="preserve">
</t>
        </r>
      </text>
    </comment>
    <comment ref="G42" authorId="1" shapeId="0">
      <text>
        <r>
          <rPr>
            <b/>
            <sz val="10"/>
            <color indexed="81"/>
            <rFont val="Calibri"/>
            <family val="2"/>
          </rPr>
          <t>E&amp;S: compilare con il numero di sensori che si intende installare</t>
        </r>
        <r>
          <rPr>
            <sz val="10"/>
            <color indexed="81"/>
            <rFont val="Calibri"/>
            <family val="2"/>
          </rPr>
          <t xml:space="preserve">
</t>
        </r>
      </text>
    </comment>
    <comment ref="G59" authorId="1" shapeId="0">
      <text>
        <r>
          <rPr>
            <b/>
            <sz val="10"/>
            <color indexed="81"/>
            <rFont val="Calibri"/>
            <family val="2"/>
          </rPr>
          <t>E&amp;S: compilare con il numero di sensori che si intende installare</t>
        </r>
        <r>
          <rPr>
            <sz val="10"/>
            <color indexed="81"/>
            <rFont val="Calibri"/>
            <family val="2"/>
          </rPr>
          <t xml:space="preserve">
</t>
        </r>
      </text>
    </comment>
    <comment ref="G64" authorId="1" shapeId="0">
      <text>
        <r>
          <rPr>
            <b/>
            <sz val="10"/>
            <color indexed="81"/>
            <rFont val="Calibri"/>
            <family val="2"/>
          </rPr>
          <t>E&amp;S: compilare con il numero di sensori che si intende installare</t>
        </r>
        <r>
          <rPr>
            <sz val="10"/>
            <color indexed="81"/>
            <rFont val="Calibri"/>
            <family val="2"/>
          </rPr>
          <t xml:space="preserve">
</t>
        </r>
      </text>
    </comment>
    <comment ref="C88" authorId="0" shapeId="0">
      <text>
        <r>
          <rPr>
            <b/>
            <sz val="9"/>
            <color indexed="81"/>
            <rFont val="Tahoma"/>
            <family val="2"/>
          </rPr>
          <t>Marco:</t>
        </r>
        <r>
          <rPr>
            <sz val="9"/>
            <color indexed="81"/>
            <rFont val="Tahoma"/>
            <family val="2"/>
          </rPr>
          <t xml:space="preserve">
Forzato</t>
        </r>
      </text>
    </comment>
    <comment ref="G95" authorId="0" shapeId="0">
      <text>
        <r>
          <rPr>
            <b/>
            <sz val="9"/>
            <color indexed="81"/>
            <rFont val="Tahoma"/>
            <family val="2"/>
          </rPr>
          <t>Marco:</t>
        </r>
        <r>
          <rPr>
            <sz val="9"/>
            <color indexed="81"/>
            <rFont val="Tahoma"/>
            <family val="2"/>
          </rPr>
          <t xml:space="preserve">
Forzato</t>
        </r>
      </text>
    </comment>
    <comment ref="C108" authorId="0" shapeId="0">
      <text>
        <r>
          <rPr>
            <b/>
            <sz val="9"/>
            <color indexed="81"/>
            <rFont val="Tahoma"/>
            <family val="2"/>
          </rPr>
          <t>Marco:</t>
        </r>
        <r>
          <rPr>
            <sz val="9"/>
            <color indexed="81"/>
            <rFont val="Tahoma"/>
            <family val="2"/>
          </rPr>
          <t xml:space="preserve">
Forzato</t>
        </r>
      </text>
    </comment>
    <comment ref="D111" authorId="0" shapeId="0">
      <text>
        <r>
          <rPr>
            <b/>
            <sz val="9"/>
            <color indexed="81"/>
            <rFont val="Tahoma"/>
            <family val="2"/>
          </rPr>
          <t>Marco:</t>
        </r>
        <r>
          <rPr>
            <sz val="9"/>
            <color indexed="81"/>
            <rFont val="Tahoma"/>
            <family val="2"/>
          </rPr>
          <t xml:space="preserve">
Forzato</t>
        </r>
      </text>
    </comment>
  </commentList>
</comments>
</file>

<file path=xl/comments3.xml><?xml version="1.0" encoding="utf-8"?>
<comments xmlns="http://schemas.openxmlformats.org/spreadsheetml/2006/main">
  <authors>
    <author>Marco</author>
  </authors>
  <commentList>
    <comment ref="C4" authorId="0" shapeId="0">
      <text>
        <r>
          <rPr>
            <b/>
            <sz val="9"/>
            <color indexed="81"/>
            <rFont val="Tahoma"/>
            <family val="2"/>
          </rPr>
          <t>Marco:</t>
        </r>
        <r>
          <rPr>
            <sz val="9"/>
            <color indexed="81"/>
            <rFont val="Tahoma"/>
            <family val="2"/>
          </rPr>
          <t xml:space="preserve">
Forzato</t>
        </r>
      </text>
    </comment>
    <comment ref="C6" authorId="0" shapeId="0">
      <text>
        <r>
          <rPr>
            <b/>
            <sz val="9"/>
            <color indexed="81"/>
            <rFont val="Tahoma"/>
            <family val="2"/>
          </rPr>
          <t>Marco:</t>
        </r>
        <r>
          <rPr>
            <sz val="9"/>
            <color indexed="81"/>
            <rFont val="Tahoma"/>
            <family val="2"/>
          </rPr>
          <t xml:space="preserve">
Forzato</t>
        </r>
      </text>
    </comment>
    <comment ref="E28" authorId="0" shapeId="0">
      <text>
        <r>
          <rPr>
            <b/>
            <sz val="9"/>
            <color indexed="81"/>
            <rFont val="Tahoma"/>
            <family val="2"/>
          </rPr>
          <t>Marco:</t>
        </r>
        <r>
          <rPr>
            <sz val="9"/>
            <color indexed="81"/>
            <rFont val="Tahoma"/>
            <family val="2"/>
          </rPr>
          <t xml:space="preserve">
Forzato</t>
        </r>
      </text>
    </comment>
  </commentList>
</comments>
</file>

<file path=xl/comments4.xml><?xml version="1.0" encoding="utf-8"?>
<comments xmlns="http://schemas.openxmlformats.org/spreadsheetml/2006/main">
  <authors>
    <author>Marco</author>
  </authors>
  <commentList>
    <comment ref="C33" authorId="0" shapeId="0">
      <text>
        <r>
          <rPr>
            <b/>
            <sz val="9"/>
            <color indexed="81"/>
            <rFont val="Tahoma"/>
            <family val="2"/>
          </rPr>
          <t>Marco:</t>
        </r>
        <r>
          <rPr>
            <sz val="9"/>
            <color indexed="81"/>
            <rFont val="Tahoma"/>
            <family val="2"/>
          </rPr>
          <t xml:space="preserve">
Forzato</t>
        </r>
      </text>
    </comment>
  </commentList>
</comments>
</file>

<file path=xl/sharedStrings.xml><?xml version="1.0" encoding="utf-8"?>
<sst xmlns="http://schemas.openxmlformats.org/spreadsheetml/2006/main" count="2149" uniqueCount="641">
  <si>
    <t>Parametri finanziari</t>
  </si>
  <si>
    <t>Aliquota fiscale</t>
  </si>
  <si>
    <t xml:space="preserve">Anno </t>
  </si>
  <si>
    <t>INVESTIMENTO</t>
  </si>
  <si>
    <t>ENTRATE</t>
  </si>
  <si>
    <t>TOTALE ENTRATE</t>
  </si>
  <si>
    <t>USCITE</t>
  </si>
  <si>
    <t>TOTALE USCITE</t>
  </si>
  <si>
    <t>NCF</t>
  </si>
  <si>
    <t>NCF attualizzato</t>
  </si>
  <si>
    <t>Indicatori di sostenibilità economica</t>
  </si>
  <si>
    <t>NPV</t>
  </si>
  <si>
    <t>IRR</t>
  </si>
  <si>
    <t>PBT</t>
  </si>
  <si>
    <t>Costi di investimento</t>
  </si>
  <si>
    <t>k_D</t>
  </si>
  <si>
    <t>Installazione</t>
  </si>
  <si>
    <t>Risparmio % seguito all'intervento</t>
  </si>
  <si>
    <t>Scala dell'intervento</t>
  </si>
  <si>
    <t>Energia</t>
  </si>
  <si>
    <t>Numero quadri elettrici</t>
  </si>
  <si>
    <t>Numero punti luce</t>
  </si>
  <si>
    <t>Risparmio di energia</t>
  </si>
  <si>
    <t>WACC</t>
  </si>
  <si>
    <t>Tipologia di strada</t>
  </si>
  <si>
    <t>Strada 1</t>
  </si>
  <si>
    <t>Strada 2</t>
  </si>
  <si>
    <t>Strada 3</t>
  </si>
  <si>
    <t>Strada 4</t>
  </si>
  <si>
    <t>Strada 5</t>
  </si>
  <si>
    <t>Strada 6</t>
  </si>
  <si>
    <t>Strada 7</t>
  </si>
  <si>
    <t>Strada 8</t>
  </si>
  <si>
    <t>Strada 9</t>
  </si>
  <si>
    <t>Strada 10</t>
  </si>
  <si>
    <t xml:space="preserve"> </t>
  </si>
  <si>
    <t>2.4-2.5</t>
  </si>
  <si>
    <t>24-27</t>
  </si>
  <si>
    <t>3.2-4.2</t>
  </si>
  <si>
    <t>31-40</t>
  </si>
  <si>
    <t>M2</t>
  </si>
  <si>
    <r>
      <t>Consumo energetico annuale
kWh·m</t>
    </r>
    <r>
      <rPr>
        <vertAlign val="superscript"/>
        <sz val="16"/>
        <rFont val="Calibri"/>
        <family val="2"/>
        <scheme val="minor"/>
      </rPr>
      <t>2</t>
    </r>
  </si>
  <si>
    <r>
      <t>Densità di potenza
mW/(lx·m</t>
    </r>
    <r>
      <rPr>
        <vertAlign val="superscript"/>
        <sz val="16"/>
        <rFont val="Calibri"/>
        <family val="2"/>
        <scheme val="minor"/>
      </rPr>
      <t>2</t>
    </r>
    <r>
      <rPr>
        <sz val="16"/>
        <rFont val="Calibri"/>
        <family val="2"/>
        <scheme val="minor"/>
      </rPr>
      <t>)</t>
    </r>
  </si>
  <si>
    <r>
      <t>Rapporto di illuminamento ai bordi R</t>
    </r>
    <r>
      <rPr>
        <vertAlign val="subscript"/>
        <sz val="16"/>
        <rFont val="Calibri"/>
        <family val="2"/>
        <scheme val="minor"/>
      </rPr>
      <t>EI</t>
    </r>
  </si>
  <si>
    <r>
      <t>Incremento di soglia f</t>
    </r>
    <r>
      <rPr>
        <vertAlign val="subscript"/>
        <sz val="16"/>
        <rFont val="Calibri"/>
        <family val="2"/>
        <scheme val="minor"/>
      </rPr>
      <t xml:space="preserve">TI
</t>
    </r>
    <r>
      <rPr>
        <sz val="16"/>
        <rFont val="Calibri"/>
        <family val="2"/>
        <scheme val="minor"/>
      </rPr>
      <t>%</t>
    </r>
  </si>
  <si>
    <t>Uniformità longitudinale
Ul</t>
  </si>
  <si>
    <t>Uniformità generale
U0</t>
  </si>
  <si>
    <r>
      <t>Luminanza media L
cd/m</t>
    </r>
    <r>
      <rPr>
        <vertAlign val="superscript"/>
        <sz val="16"/>
        <rFont val="Calibri"/>
        <family val="2"/>
        <scheme val="minor"/>
      </rPr>
      <t>2</t>
    </r>
  </si>
  <si>
    <t>Categoria illuminotecnica</t>
  </si>
  <si>
    <t>LED</t>
  </si>
  <si>
    <t>SAP</t>
  </si>
  <si>
    <t>Prestazioni energetiche
(UNI EN 13201-5:2016)</t>
  </si>
  <si>
    <t>Requisiti illuminotecnici
(UNI EN 13201-2:2016)</t>
  </si>
  <si>
    <t>Classificazione strada
(UNI 11248:2016)</t>
  </si>
  <si>
    <t>C2</t>
  </si>
  <si>
    <t>UNILATERALE</t>
  </si>
  <si>
    <t>MONODIREZIONALE</t>
  </si>
  <si>
    <t>MANTO</t>
  </si>
  <si>
    <t>INTERDISTANZA/ALTEZZA
I/H (m)</t>
  </si>
  <si>
    <t>MARCIAPIEDI
(m)</t>
  </si>
  <si>
    <t>POSIZ. APPARECCHIO RISPETTO AL BORDO CARREGGIATA (m)</t>
  </si>
  <si>
    <t>ALTEZZA
H (m)</t>
  </si>
  <si>
    <t>INTERDISTANZA
I (m)</t>
  </si>
  <si>
    <t>LARGHEZZA
L (m)</t>
  </si>
  <si>
    <t>DISPOSIZIONE APPARECCHI</t>
  </si>
  <si>
    <t>SENSO MARCIA</t>
  </si>
  <si>
    <t>3.0-3.8</t>
  </si>
  <si>
    <t>25-32</t>
  </si>
  <si>
    <t>4.0-5.3</t>
  </si>
  <si>
    <t>34-41</t>
  </si>
  <si>
    <t>M1</t>
  </si>
  <si>
    <t>BILATERALE CENTRALE</t>
  </si>
  <si>
    <t>BIDIREZIONALE</t>
  </si>
  <si>
    <t>MEDIANA
(m)</t>
  </si>
  <si>
    <t>2X2,5m</t>
  </si>
  <si>
    <t>BILATERALE AFFACCIATO</t>
  </si>
  <si>
    <t>25-27</t>
  </si>
  <si>
    <t>31-32</t>
  </si>
  <si>
    <t>M3</t>
  </si>
  <si>
    <t>2X1,5m</t>
  </si>
  <si>
    <t>23-25</t>
  </si>
  <si>
    <t>2.5-2.6</t>
  </si>
  <si>
    <t>34-38</t>
  </si>
  <si>
    <t>2.2-2.4</t>
  </si>
  <si>
    <t>30-33</t>
  </si>
  <si>
    <t>25-28</t>
  </si>
  <si>
    <t>2.7-2.8</t>
  </si>
  <si>
    <t>40-44</t>
  </si>
  <si>
    <t>1.8-2.4</t>
  </si>
  <si>
    <t>34-42</t>
  </si>
  <si>
    <t>M4</t>
  </si>
  <si>
    <t>1.2-1.7</t>
  </si>
  <si>
    <t>41-51</t>
  </si>
  <si>
    <t>M5</t>
  </si>
  <si>
    <t>INSTALLAZIONE SU PALO - OTTICA STRADALE</t>
  </si>
  <si>
    <t>Gateway</t>
  </si>
  <si>
    <t>Comunicazione</t>
  </si>
  <si>
    <t>Tipo</t>
  </si>
  <si>
    <t>Tipologia sensore</t>
  </si>
  <si>
    <t xml:space="preserve">Strada 2 </t>
  </si>
  <si>
    <t xml:space="preserve">Strada 3 </t>
  </si>
  <si>
    <t xml:space="preserve">Strada 4 </t>
  </si>
  <si>
    <t xml:space="preserve">Strada 5 </t>
  </si>
  <si>
    <t xml:space="preserve">Strada 6 </t>
  </si>
  <si>
    <t xml:space="preserve">Strada 7 </t>
  </si>
  <si>
    <t xml:space="preserve">Strada 9 </t>
  </si>
  <si>
    <t xml:space="preserve">                         </t>
  </si>
  <si>
    <t>Contratto di manutenzione</t>
  </si>
  <si>
    <t>Totale investimento</t>
  </si>
  <si>
    <t>Software</t>
  </si>
  <si>
    <t>Tipologia</t>
  </si>
  <si>
    <t>TOTALE</t>
  </si>
  <si>
    <t>Categoria ill.</t>
  </si>
  <si>
    <t>Prezzo Energia [euro/kWh]</t>
  </si>
  <si>
    <t>si</t>
  </si>
  <si>
    <t>no</t>
  </si>
  <si>
    <t>Prezzo [€/sensore]</t>
  </si>
  <si>
    <t>Prezzo  [€/pacchetto]</t>
  </si>
  <si>
    <t>Manutenzione</t>
  </si>
  <si>
    <t>Trasmissione dati</t>
  </si>
  <si>
    <t>Costi trasmissione dati</t>
  </si>
  <si>
    <t>Risparmio manutenzione</t>
  </si>
  <si>
    <t>Costo software</t>
  </si>
  <si>
    <t>Consumo post intervento [kWh/anno]</t>
  </si>
  <si>
    <t>Consumo pre-intervento [kWh/anno]</t>
  </si>
  <si>
    <t>Prezzo medio a lampione</t>
  </si>
  <si>
    <t>Prezzo [€/sensore anno]</t>
  </si>
  <si>
    <t>da 300/400 a 1000/1500 a seconda che si muova o meno.</t>
  </si>
  <si>
    <t>Investimento SAL 2</t>
  </si>
  <si>
    <t>Costo manutenzione pre-intervento</t>
  </si>
  <si>
    <t>Pre intervento</t>
  </si>
  <si>
    <t>Costo manutenzione post-intervento</t>
  </si>
  <si>
    <t>1 pacchetto</t>
  </si>
  <si>
    <t>2 pacchetti</t>
  </si>
  <si>
    <t>3 pacchetti</t>
  </si>
  <si>
    <t>NESSUNO</t>
  </si>
  <si>
    <t>Software in SAL 2</t>
  </si>
  <si>
    <t># medio punti luce a quadro</t>
  </si>
  <si>
    <t># effettivo punti luce a quadro</t>
  </si>
  <si>
    <t># lampioni stimato</t>
  </si>
  <si>
    <t># quadri stimato</t>
  </si>
  <si>
    <t>Numero effettivo</t>
  </si>
  <si>
    <t>Numero minimo</t>
  </si>
  <si>
    <t>SENSORI MONITORAGGIO TRAFFICO</t>
  </si>
  <si>
    <t>Tipologia di sensore</t>
  </si>
  <si>
    <t>Regolatore punto luce</t>
  </si>
  <si>
    <t>HW per Telecontrollo</t>
  </si>
  <si>
    <t>k_ESCo</t>
  </si>
  <si>
    <t>CapitaleDebito/Investimento totale</t>
  </si>
  <si>
    <t>CapitaleESCo/Investimento totale</t>
  </si>
  <si>
    <t>CapitaleComune/Investimento totale</t>
  </si>
  <si>
    <t>k_COMUNE</t>
  </si>
  <si>
    <t>"telegestione" [€/punto luce l'anno]</t>
  </si>
  <si>
    <t>Costo software annuo</t>
  </si>
  <si>
    <t>Prezzo [€/gateway]</t>
  </si>
  <si>
    <t>il numero minimo di sensori installati dovrebbe essere almeno pari al numero di incroci</t>
  </si>
  <si>
    <t>Costo sensori</t>
  </si>
  <si>
    <t>Cumulata NCF attualizzati</t>
  </si>
  <si>
    <t>Consumo energetico specifico [kWh/m2 anno]</t>
  </si>
  <si>
    <t>Installazione [€/sensore]</t>
  </si>
  <si>
    <t>VIDEOSORVEGLIANZA</t>
  </si>
  <si>
    <t>SSS8</t>
  </si>
  <si>
    <t>Centralina meteo</t>
  </si>
  <si>
    <t>Hotspot (copertuta 100mt)</t>
  </si>
  <si>
    <t>Wifi</t>
  </si>
  <si>
    <t>SENSORI AMBIENTALI</t>
  </si>
  <si>
    <t>SSS 11</t>
  </si>
  <si>
    <t>SSS6 e SSS7</t>
  </si>
  <si>
    <t>Parcometro</t>
  </si>
  <si>
    <t>Ricarica pc o cellulari</t>
  </si>
  <si>
    <t>Ricarica biciclette (4 prese)</t>
  </si>
  <si>
    <t>Sensore magnetico wireless</t>
  </si>
  <si>
    <t>STAZIONE RICARICA</t>
  </si>
  <si>
    <t>SENSORI PARCHEGGI</t>
  </si>
  <si>
    <t>SSS 10</t>
  </si>
  <si>
    <t>SSS4 e SSS5</t>
  </si>
  <si>
    <t>Totem da esterni</t>
  </si>
  <si>
    <t>Pannello da esterni</t>
  </si>
  <si>
    <t>TOTEM e PANNELLI A MESSAGGIO VARIABILE</t>
  </si>
  <si>
    <t>SSS9</t>
  </si>
  <si>
    <t>SSS2 e SSS3</t>
  </si>
  <si>
    <t>Pannello a messaggio variabile da esterni</t>
  </si>
  <si>
    <t>Numero strutture ricarica pc o cellulari</t>
  </si>
  <si>
    <t>Numero sensori ambientali</t>
  </si>
  <si>
    <t>Numero pannelli a messaggio variabile</t>
  </si>
  <si>
    <t>Numero di totem da esterni</t>
  </si>
  <si>
    <t xml:space="preserve">Numero stazioni di ricarica biciclette </t>
  </si>
  <si>
    <t>Numero sensori monitoraggio parcheggi</t>
  </si>
  <si>
    <t>Numero di Hotspot</t>
  </si>
  <si>
    <t>Numero parcometri</t>
  </si>
  <si>
    <t>Costo sensori monitoraggio parcheggi</t>
  </si>
  <si>
    <t>Costo parcometri</t>
  </si>
  <si>
    <t>Costo sensori ambientali</t>
  </si>
  <si>
    <t>Costo pannelli a messaggio variabile</t>
  </si>
  <si>
    <t>Costo dei totem da esterni</t>
  </si>
  <si>
    <t>Costo Hotspot</t>
  </si>
  <si>
    <t xml:space="preserve">Costo stazioni di ricarica biciclette </t>
  </si>
  <si>
    <t>Numero smart meter (PELL)</t>
  </si>
  <si>
    <t>Costo smart meter (PELL)</t>
  </si>
  <si>
    <t>PELL</t>
  </si>
  <si>
    <t>Smart meter</t>
  </si>
  <si>
    <t>Costo compilazione censimento  [€/punto luce]</t>
  </si>
  <si>
    <t>Costo censimento (PELL)</t>
  </si>
  <si>
    <t>Costo di trasmissione dati - banda stretta</t>
  </si>
  <si>
    <t>Costo di trasmissione dati - banda larga</t>
  </si>
  <si>
    <t>il numero di sensori installati dev'essere pari al numero di stalli</t>
  </si>
  <si>
    <t>Una telecamera "smart" usata per sistemi di smart parking è in grado di controllare fino a 30 stalli se la geometria del parcheggio lo permette</t>
  </si>
  <si>
    <t>Il numero di parcometri è funzionale al servizio che si vuole offrire</t>
  </si>
  <si>
    <t>Il numero di sensori ambientali è funzionale al servizio che si vuole offrire</t>
  </si>
  <si>
    <t>Il numero di pannelli a messaggio variabile  è funzionale al servizio che si vuole offrire</t>
  </si>
  <si>
    <t>Il numero di totem da esterni è funzionale al servizio che si vuole offrire</t>
  </si>
  <si>
    <t>Il numero di stazioni di ricarica per pc e cellulari è funzionale al servizio che si vuole offrire</t>
  </si>
  <si>
    <t>valore indicativo che dipende dalla quantità di dati da trasportare</t>
  </si>
  <si>
    <t>Gli hotspot Wifi hanno una copertura del segnale pari a 100 mt</t>
  </si>
  <si>
    <t>Lunghezza complessiva strada oggetto d'intervento per tipologia [m]</t>
  </si>
  <si>
    <t>Larghezza strada oggetto d'intervento per tipologia [m]</t>
  </si>
  <si>
    <t>Interdistanza strada oggetto d'intervento per tipologia [m]</t>
  </si>
  <si>
    <t># incroci</t>
  </si>
  <si>
    <t>Telegestione</t>
  </si>
  <si>
    <t>FAI</t>
  </si>
  <si>
    <t>TAI</t>
  </si>
  <si>
    <t>BANDA STRETTA</t>
  </si>
  <si>
    <t>BANDA LARGA</t>
  </si>
  <si>
    <t>Attenzione!! Riempire solo se il sensore di monitoraggio traffico è diverso da quello usato nel TAI</t>
  </si>
  <si>
    <t>SAL</t>
  </si>
  <si>
    <t>SSS</t>
  </si>
  <si>
    <t>E' presente un impianto a regolazione predefinita?</t>
  </si>
  <si>
    <t>REP</t>
  </si>
  <si>
    <t>Casella di controllo</t>
  </si>
  <si>
    <t>Nel caso di installazione di soli servizi SSS:</t>
  </si>
  <si>
    <t>E' già presente un impianto di telegestione?</t>
  </si>
  <si>
    <t>Costo software prelievo dati</t>
  </si>
  <si>
    <t>Costo presente solo se si risponde "si" alla domanda ---&gt;</t>
  </si>
  <si>
    <t>I dati vengono inviati prima alla piattaforma cloud?</t>
  </si>
  <si>
    <t>Canone annuale piattaforma software</t>
  </si>
  <si>
    <t>Il numero di telecamere è funzionale al servizio che si vuole offrire</t>
  </si>
  <si>
    <t xml:space="preserve">Se si è risposto "si" alla domanda precedente: </t>
  </si>
  <si>
    <t>Risparmio seguito all'intervento</t>
  </si>
  <si>
    <t>Risparmio CO2</t>
  </si>
  <si>
    <t>Si desidera tenere in conto i risparmi ambientali in termini di valorizzazione della CO2 risparmiata?</t>
  </si>
  <si>
    <t>Costi/Risparmi annuali</t>
  </si>
  <si>
    <t>CO2 risparmiata</t>
  </si>
  <si>
    <t>Prezzo CO2 risparmiata [euro/ton]</t>
  </si>
  <si>
    <t>Risparmio energia seguito all'intervento [kWh_el]</t>
  </si>
  <si>
    <t>Risparmio seguito all'intervento [euro]</t>
  </si>
  <si>
    <t>CO2 risparmiata al kWh_el [kgCO2/kWh_el]</t>
  </si>
  <si>
    <t>Risparmio CO2 seguito all'intervento [euro]</t>
  </si>
  <si>
    <t>TOTALE Risparmio energia</t>
  </si>
  <si>
    <t>TOTALE Risparmio CO2</t>
  </si>
  <si>
    <t>Smart Adaptive Lighting &amp; Smart street services - Autofinanziamento</t>
  </si>
  <si>
    <t>Numero sensori monitoraggio traffico TAI</t>
  </si>
  <si>
    <t>Numero sensori monitoraggio traffico SSS</t>
  </si>
  <si>
    <t>Costo Sensori monitoraggio traffico TAI</t>
  </si>
  <si>
    <t>Costo Sensori monitoraggio traffico SSS</t>
  </si>
  <si>
    <t>Sensori  "advanced"</t>
  </si>
  <si>
    <t>Costo stazioni di ricarica pc o cellulari</t>
  </si>
  <si>
    <t>Smart Adaptive Lighting</t>
  </si>
  <si>
    <t>Smart Street Services</t>
  </si>
  <si>
    <t>TOTALE Risparmio manutenzione</t>
  </si>
  <si>
    <t>Sensore standard wireless (ultrasuoni/infrarossi/radar)</t>
  </si>
  <si>
    <t>Telecamera smart</t>
  </si>
  <si>
    <t>Sensore standard</t>
  </si>
  <si>
    <t>Telecamera standard</t>
  </si>
  <si>
    <t>Sensore standard (infrarossi/radar)</t>
  </si>
  <si>
    <t>Sensore advanced</t>
  </si>
  <si>
    <t>pacchetto base ''veicoli'' - telecamera smart</t>
  </si>
  <si>
    <t>pacchetto base ''pedoni'' - telecamera smart</t>
  </si>
  <si>
    <t>pacchetto base ''meteo'' - telecamera smart</t>
  </si>
  <si>
    <t>pacchetto base ''parcheggi'' - telecamera smart</t>
  </si>
  <si>
    <t>pacchetto base ''sicurezza'' - telecamera smart</t>
  </si>
  <si>
    <t>Costo Sensori advanced</t>
  </si>
  <si>
    <t>Costo software iniziale telecamera smart - TAI</t>
  </si>
  <si>
    <t>Costo software iniziale telecamera smart - SSS</t>
  </si>
  <si>
    <t>Costo sensori videosorveglianza (telecamere standard e telecamere smart)</t>
  </si>
  <si>
    <t>Numero sensori videosorveglianza (telecamere standard e telecamere smart)</t>
  </si>
  <si>
    <t>Numero sensori advanced</t>
  </si>
  <si>
    <t>Telecamera smart - 2 pacchetti software</t>
  </si>
  <si>
    <t>Telecamera smart -1 pacchetto software</t>
  </si>
  <si>
    <t>Telecamera smart - 3 pacchetti software</t>
  </si>
  <si>
    <t>Telecamera smart (parcheggio)</t>
  </si>
  <si>
    <t>Sensore traffico standard</t>
  </si>
  <si>
    <t>Sensori ambientali standard</t>
  </si>
  <si>
    <t>Sensori ambientali avanzati</t>
  </si>
  <si>
    <t>Telecamera smart (videosorveglianza)</t>
  </si>
  <si>
    <t>Sistemi di monitoraggio del traffico</t>
  </si>
  <si>
    <t>Smart street service</t>
  </si>
  <si>
    <t>Smart Parking</t>
  </si>
  <si>
    <t>Sensori ambientali</t>
  </si>
  <si>
    <t>Videosorveglianza</t>
  </si>
  <si>
    <t>Totem e pannelli a messagigo variabile</t>
  </si>
  <si>
    <t>ALTRO</t>
  </si>
  <si>
    <t>Stazioni di ricarica</t>
  </si>
  <si>
    <t>Connettività Wifi</t>
  </si>
  <si>
    <t>La telecamera smart ha un costo del software solo iniziale</t>
  </si>
  <si>
    <t>Eventuali extra costi (es: progettazione, opere civili, messa a norma impianti)</t>
  </si>
  <si>
    <t>TOTALE - TAI</t>
  </si>
  <si>
    <t>TOTALE - FAI</t>
  </si>
  <si>
    <t>Punto luce</t>
  </si>
  <si>
    <t>Sensore TAI (standard)</t>
  </si>
  <si>
    <t>Telecamera smart (TAI)</t>
  </si>
  <si>
    <t>Sensore advanced (FAI)</t>
  </si>
  <si>
    <t>Seleziona pacchetto software 1</t>
  </si>
  <si>
    <t>Seleziona pacchetto software 2</t>
  </si>
  <si>
    <t>Seleziona pacchetto software 3</t>
  </si>
  <si>
    <t>Solo per telecamera smart</t>
  </si>
  <si>
    <t>Il numero di smart meter è pari al numero di Gateway</t>
  </si>
  <si>
    <t>Viene implementato il PELL?</t>
  </si>
  <si>
    <t>campi obbligatori</t>
  </si>
  <si>
    <t>campi facoltativi</t>
  </si>
  <si>
    <t>Volume d’affari associato alle soluzioni tecnologiche</t>
  </si>
  <si>
    <t xml:space="preserve">Ricaduta occupazionale associata all’installazione/manutenzione delle soluzioni tecnologiche </t>
  </si>
  <si>
    <t xml:space="preserve">Ricaduta occupazionale associate alle soluzioni tecnologiche </t>
  </si>
  <si>
    <r>
      <t xml:space="preserve">PARAMETRI AREA INTERVENTO </t>
    </r>
    <r>
      <rPr>
        <sz val="11"/>
        <color theme="1"/>
        <rFont val="Calibri"/>
        <family val="2"/>
        <scheme val="minor"/>
      </rPr>
      <t>(in grassetto i parametri da inserire obbligatoriamente)</t>
    </r>
  </si>
  <si>
    <t>Le celle che come unità di misura hanno "elenco a discesa" prevedono una risposta a scelta da un elenco a discesa</t>
  </si>
  <si>
    <t>UBICAZIONE GEOGRAFICA</t>
  </si>
  <si>
    <t>Parametro</t>
  </si>
  <si>
    <t>Descrizione</t>
  </si>
  <si>
    <t>Unità di misura</t>
  </si>
  <si>
    <t>Valore</t>
  </si>
  <si>
    <t>Nome della Via</t>
  </si>
  <si>
    <t>Inizio e fine (dal  numero civico al numero civico oppure dal km al km)</t>
  </si>
  <si>
    <t>precisazione Tronco come da mappa</t>
  </si>
  <si>
    <t>nota</t>
  </si>
  <si>
    <t>ID quadro elettrico</t>
  </si>
  <si>
    <t>lungh_strada1</t>
  </si>
  <si>
    <t>lunghezza complessiva della strada di tipologia 2 oggetto dell'intervento (espressa in metri)</t>
  </si>
  <si>
    <t>Metri</t>
  </si>
  <si>
    <t>via G. Verdi</t>
  </si>
  <si>
    <t xml:space="preserve">da 1 a 16 </t>
  </si>
  <si>
    <t>Tronco 1_2_3</t>
  </si>
  <si>
    <t>la classificazione stradale è M4 ma l'installazione è bilaterale, per mancanza di dati ho selezionato strada 2</t>
  </si>
  <si>
    <t>1_191</t>
  </si>
  <si>
    <t>n_incroci_strada1</t>
  </si>
  <si>
    <t>numeri di incroci della strada di tipologia 1 oggetto dell'intervento</t>
  </si>
  <si>
    <t>Numero incroci</t>
  </si>
  <si>
    <t>NON COMPLETARE</t>
  </si>
  <si>
    <t>lungh_strada2</t>
  </si>
  <si>
    <t>Strada G. garibaldi</t>
  </si>
  <si>
    <t>da 42 a 50</t>
  </si>
  <si>
    <t>tronco 1_tipo 1</t>
  </si>
  <si>
    <t>1_134</t>
  </si>
  <si>
    <t>n_incroci_strada2</t>
  </si>
  <si>
    <t>numeri di incroci della strada di tipologia 2 oggetto dell'intervento</t>
  </si>
  <si>
    <t>lungh_strada3</t>
  </si>
  <si>
    <t>da 42 a 18</t>
  </si>
  <si>
    <t>tronco 2</t>
  </si>
  <si>
    <t>n_incroci_strada3</t>
  </si>
  <si>
    <t>numeri di incroci della strada di tipologia 3 oggetto dell'intervento</t>
  </si>
  <si>
    <t>lungh_strada4</t>
  </si>
  <si>
    <t>lunghezza complessiva della strada di tipologia 5 oggetto dell'intervento (espressa in metri)</t>
  </si>
  <si>
    <t>da 18 a  15</t>
  </si>
  <si>
    <t>tronco 3_tipo 1</t>
  </si>
  <si>
    <t>la classificazione stradale è M3 , installazione unilaterale</t>
  </si>
  <si>
    <t>1_178</t>
  </si>
  <si>
    <t>n_incroci_strada4</t>
  </si>
  <si>
    <t>numeri di incroci della strada di tipologia 4 oggetto dell'intervento</t>
  </si>
  <si>
    <t>lungh_strada5</t>
  </si>
  <si>
    <t>da 15 a 12</t>
  </si>
  <si>
    <t>tronco 4_tipo 1</t>
  </si>
  <si>
    <t xml:space="preserve"> 1_105</t>
  </si>
  <si>
    <t>n_incroci_strada5</t>
  </si>
  <si>
    <t>numeri di incroci della strada di tipologia 5 oggetto dell'intervento</t>
  </si>
  <si>
    <t>lungh_strada6</t>
  </si>
  <si>
    <t>tronco 4_tipo 2</t>
  </si>
  <si>
    <t>n_incroci_strada6</t>
  </si>
  <si>
    <t>numeri di incroci della strada di tipologia 6 oggetto dell'intervento</t>
  </si>
  <si>
    <t>lungh_strada7</t>
  </si>
  <si>
    <t>tronco 4_tipo 3</t>
  </si>
  <si>
    <t>1_114</t>
  </si>
  <si>
    <t>n_incroci_strada7</t>
  </si>
  <si>
    <t>numeri di incroci della strada di tipologia 7 oggetto dell'intervento</t>
  </si>
  <si>
    <t>lungh_strada8</t>
  </si>
  <si>
    <t>tronco 4_tipo 4</t>
  </si>
  <si>
    <t>n_incroci_strada8</t>
  </si>
  <si>
    <t>numeri di incroci della strada di tipologia 8 oggetto dell'intervento</t>
  </si>
  <si>
    <t>lungh_strada9</t>
  </si>
  <si>
    <t>tronco 4_tipo 5</t>
  </si>
  <si>
    <t>n_incroci_strada9</t>
  </si>
  <si>
    <t>numeri di incroci della strada di tipologia 9 oggetto dell'intervento</t>
  </si>
  <si>
    <t>lungh_strada10</t>
  </si>
  <si>
    <t>da 12 a 1</t>
  </si>
  <si>
    <t>tronco 5</t>
  </si>
  <si>
    <t>1_105</t>
  </si>
  <si>
    <t>n_incroci_strada10</t>
  </si>
  <si>
    <t>numeri di incroci della strada di tipologia 10 oggetto dell'intervento</t>
  </si>
  <si>
    <t>Via G. Verdi tronco 1_2_3</t>
  </si>
  <si>
    <r>
      <t xml:space="preserve">PARAMETRI SITUAZIONE AS IS </t>
    </r>
    <r>
      <rPr>
        <sz val="11"/>
        <color theme="1"/>
        <rFont val="Calibri"/>
        <family val="2"/>
        <scheme val="minor"/>
      </rPr>
      <t>(in grassetto i parametri da inserire obbligatoriamente)</t>
    </r>
  </si>
  <si>
    <t xml:space="preserve">nota </t>
  </si>
  <si>
    <t>tecnologia_lampada</t>
  </si>
  <si>
    <t>tecnologia utilizzata</t>
  </si>
  <si>
    <t>Elenco a discesa</t>
  </si>
  <si>
    <t>Ioduri Metallici/ Alogenuri Metallici</t>
  </si>
  <si>
    <t>n_di_lampade</t>
  </si>
  <si>
    <t>numero di lampade</t>
  </si>
  <si>
    <t>Numero lampade</t>
  </si>
  <si>
    <t>costo_lampada</t>
  </si>
  <si>
    <t>costo acquisto e installazione singola lampada</t>
  </si>
  <si>
    <t>€/lampada</t>
  </si>
  <si>
    <t>iva esclusa</t>
  </si>
  <si>
    <t>n_quadri_el</t>
  </si>
  <si>
    <t>numero di quadri elettrici</t>
  </si>
  <si>
    <t>costo_quadro</t>
  </si>
  <si>
    <t>costo singolo quadro elettrico</t>
  </si>
  <si>
    <t>€/quadro elettrico</t>
  </si>
  <si>
    <t>potenza_nominale_singola_lampada</t>
  </si>
  <si>
    <t>potenza nominale della singola lampada</t>
  </si>
  <si>
    <t>kW</t>
  </si>
  <si>
    <t>perdite elettriche</t>
  </si>
  <si>
    <t>perdite dovute a inefficienze della parte elettronica, driver, alimentatore, ecc… (espresse in valore assoluto kW)</t>
  </si>
  <si>
    <t>percentuale dimmering</t>
  </si>
  <si>
    <t>percentuale di potenza rispetto al totale nel caso di funzionamento in dimmering</t>
  </si>
  <si>
    <t>%</t>
  </si>
  <si>
    <t>ore_anno_accensione_impianto</t>
  </si>
  <si>
    <t>ore annuali totali di accensione della lampada a potenza piena</t>
  </si>
  <si>
    <t>Ore/anno</t>
  </si>
  <si>
    <t>durata_riduzione_flusso_luminoso (ore/anno)</t>
  </si>
  <si>
    <t>ore annuali totali di accensione della lampada a potenza ridotta</t>
  </si>
  <si>
    <t>intervallo_anni_manutenzione</t>
  </si>
  <si>
    <t>numero di anni corrispondente al valore del tempo che intercorre tra una manutenzione e l'altra, o MTBM (mean time between maintenance), di ogni lampada</t>
  </si>
  <si>
    <t>Anni</t>
  </si>
  <si>
    <t>anni</t>
  </si>
  <si>
    <t>costo_smaltimento_lampada</t>
  </si>
  <si>
    <t>costo componente elettronica relativa alla singola lampada</t>
  </si>
  <si>
    <t>€/lampda</t>
  </si>
  <si>
    <t>Strada G. Garibaldi tronco 1_tipo 1</t>
  </si>
  <si>
    <t>Strada G. Garibaldi tronco 3_tipo 1</t>
  </si>
  <si>
    <t>Strada G. Garibaldi tronco 4_tipo 1</t>
  </si>
  <si>
    <t>Strada G. Garibaldi tronco 4_tipo 2</t>
  </si>
  <si>
    <t>Strada G. Garibaldi tronco 4_tipo 3</t>
  </si>
  <si>
    <t>Strada G. Garibaldi tronco 4_tipo 4</t>
  </si>
  <si>
    <t>Strada G. Garibaldi tronco 4_tipo 5</t>
  </si>
  <si>
    <t>Strada G. Garibaldi tronco 5</t>
  </si>
  <si>
    <r>
      <t xml:space="preserve">PARAMETRI SITUAZIONE TO BE </t>
    </r>
    <r>
      <rPr>
        <sz val="11"/>
        <color theme="1"/>
        <rFont val="Calibri"/>
        <family val="2"/>
        <scheme val="minor"/>
      </rPr>
      <t>(in grassetto i parametri da inserire obbligatoriamente)</t>
    </r>
  </si>
  <si>
    <t>ID QE</t>
  </si>
  <si>
    <t>NOTA riqualificazione</t>
  </si>
  <si>
    <t>costo_apparecchio_illuminazione</t>
  </si>
  <si>
    <t>costo acquisto e installazione apparecchio illuminazione (lampada, elettronica ed armatura)</t>
  </si>
  <si>
    <t xml:space="preserve">LA RIQUALIFICAZIONE HA PREVISTO L'UTILIZZO DI UN KIT DI RETROFITTING NON E' stato sostituito l'APPARECCHIO </t>
  </si>
  <si>
    <t>ID QE 1_191</t>
  </si>
  <si>
    <t>perdite dovute a inefficienze della parte elettronica, driver, alimentatore, ecc… (espresse in valore assoluto in kW)</t>
  </si>
  <si>
    <t>na</t>
  </si>
  <si>
    <t>costo_sistema_controllo</t>
  </si>
  <si>
    <t>costo di aggiornamento/installazione sistema di controllo remoto</t>
  </si>
  <si>
    <t>€</t>
  </si>
  <si>
    <t>costo_palo</t>
  </si>
  <si>
    <t>costo sostituzione palo di illuminazione relativo al singolo apparecchio</t>
  </si>
  <si>
    <t>€/palo</t>
  </si>
  <si>
    <t>palo o il braccio non è stato sostituito</t>
  </si>
  <si>
    <t>costo_rifacimento_imp_elettrico</t>
  </si>
  <si>
    <t>costo di ammodernamento/rifacimento dell’impianto elettrico</t>
  </si>
  <si>
    <t>costo_attività_prodromiche</t>
  </si>
  <si>
    <t>costo attività preliminari per la diagnosi tecnica e la progettazione</t>
  </si>
  <si>
    <t>flusso_di_cassa</t>
  </si>
  <si>
    <t>ricavi derivanti per il comune dall'utilizzo di servizi smart implementati</t>
  </si>
  <si>
    <t>€/anno</t>
  </si>
  <si>
    <t>Via G. Garibaldi tronco 1_tipo 1</t>
  </si>
  <si>
    <t>ID QE 1_134</t>
  </si>
  <si>
    <t>Via G. Garibaldi tronco 2</t>
  </si>
  <si>
    <t>Via G. Garibaldi tronco 3_tipo 1</t>
  </si>
  <si>
    <t>ID QE 1_178</t>
  </si>
  <si>
    <t>Via G. Garibaldi tronco 4_tipo 1</t>
  </si>
  <si>
    <t>ID QE 1_105</t>
  </si>
  <si>
    <t>Via G. Garibaldi tronco 4_tipo 2</t>
  </si>
  <si>
    <t>apparecchio nuovo</t>
  </si>
  <si>
    <t>Via G. Garibaldi tronco 4_tipo 3</t>
  </si>
  <si>
    <t>ID QE 1_114</t>
  </si>
  <si>
    <t>Via G. Garibaldi tronco 4_tipo 4</t>
  </si>
  <si>
    <t>Via G. Garibaldi tronco 4_tipo 5</t>
  </si>
  <si>
    <t>Via G. Garibaldi tronco 5</t>
  </si>
  <si>
    <r>
      <t xml:space="preserve">PARAMETRI INTERVENTI SMART ADAPTIVE LIGHTING </t>
    </r>
    <r>
      <rPr>
        <sz val="11"/>
        <color theme="1"/>
        <rFont val="Calibri"/>
        <family val="2"/>
        <scheme val="minor"/>
      </rPr>
      <t>(in grassetto i parametri da inserire obbligatoriamente)</t>
    </r>
  </si>
  <si>
    <t>Tipologia_intervento_SAL</t>
  </si>
  <si>
    <t>gli interventi di riqualificazione in ottica smart adaptive lighting (SAL) sono declinati in tre diverse tipologie: 
(i) impianto “a regolazione predefinita”, ossia una illuminazione a regolazione che opera secondo delle valutazioni a priori esplicitate dal progettista nella valutazione dei rischi” ; 
(ii) impianto “Traffic Adaptive Installation” (TAI), ossia una illuminazione a regolazione nella quale le variazioni controllate nel tempo della luminanza o dell’illuminamento sono attuate con continuità in base alle reali condizioni del flusso orario del traffico;
(iii) impianto “Full Adaptive Installation” (FAI), ossia una illuminazione a regolazione nella quale le variazioni controllate nel tempo della luminanza o dell’illuminamento sono attuate con continuità in base alle reali condizioni del flusso orario del traffico, la luminanza del manto stradale o l’illuminamento e le condizioni metereologiche</t>
  </si>
  <si>
    <t>Full Adaptive Installation (FAI)</t>
  </si>
  <si>
    <t>costo_regolazione_predefinita</t>
  </si>
  <si>
    <t xml:space="preserve">costo di fornitura, installazione e avvio del servizio di  "regolazione predefinita” </t>
  </si>
  <si>
    <t>NB: da compilare nel caso in cui come valore nella cella C67 si sia indicato regolazione predefinita</t>
  </si>
  <si>
    <t>n_sensori_TAI</t>
  </si>
  <si>
    <t>numero di sensori standard per il traffico installati nel caso in cui si sia implementato un impianto TAI o FAI</t>
  </si>
  <si>
    <t>Numero sensori</t>
  </si>
  <si>
    <t>NB: da compilare nel caso in cui come valore nella cella C67 si sia indicato TAI o FAI</t>
  </si>
  <si>
    <t>costo_sensori_TAI</t>
  </si>
  <si>
    <t>costo per la fornitura e l'installazione di sensori standard per il traffico</t>
  </si>
  <si>
    <t>costo_TAI</t>
  </si>
  <si>
    <t>costo di fornitura, installazione e avvio del servizio TAI (servizio di valutazione statistica predittiva, sulla base di
un continuo campionamento, del flusso orario del traffico
per la regolazione della luminosità)</t>
  </si>
  <si>
    <t>€ / anno /punto luce</t>
  </si>
  <si>
    <t>n_telecamere_1software</t>
  </si>
  <si>
    <t>numero di telecamere smart installate nel caso si sia implementato un impianto TAI o FAI dotate di un unico pacchetto software che permette il monitaraggio puntuale del traffico</t>
  </si>
  <si>
    <t>Numero telecamere</t>
  </si>
  <si>
    <t>costo_telecamere_1software</t>
  </si>
  <si>
    <t>costo per la fornitura e l'installazione di telecamere smart dotate di un unico pacchetto software</t>
  </si>
  <si>
    <t>n_telecamere_2software</t>
  </si>
  <si>
    <t>numero di telecamere smart installate nel caso si sia implementato un impianto TAI o FAI dotate di 2 pacchetti software che, oltre il monitaraggio del traffico, permettono anche il rilevamento di situazioni pericolose/critiche</t>
  </si>
  <si>
    <t>costo_telecamere_2software</t>
  </si>
  <si>
    <t>costo per la fornitura e l'installazione di telecamere smart dotate di 2 pacchetti software</t>
  </si>
  <si>
    <t>n_telecamere_3software</t>
  </si>
  <si>
    <t>numero di telecamere smart installate nel caso si sia implementato un impianto TAI o FAI dotate di 3 pacchetti software che, oltre il monitaraggio del traffico e il rilevamento di situazioni pericolose/critiche, realizzano un'altra funzionalità (come ad esempio il monitoraggio delle aree di sosta o la rilevaizone e il conteggio dei pedoni)</t>
  </si>
  <si>
    <t>costo_telecamere_3software</t>
  </si>
  <si>
    <t>costo per la fornitura e l'installazione di telecamere smart dotate di 3 pacchetti software</t>
  </si>
  <si>
    <t>n_sensori_FAI</t>
  </si>
  <si>
    <t>numero di sensori avanzati installati, che permettono il monitoraggio della luminanza del manto stradale o delle condizioni metereologiche, nel caso in cui si sia implementato un impianto FAI</t>
  </si>
  <si>
    <t>NB: da compilare nel caso in cui come valore nella cella C67 si sia indicato FAI</t>
  </si>
  <si>
    <t>ipotizziamo che la parte meteo non sia presente in tutte le telecamera</t>
  </si>
  <si>
    <t>costo_sensori_FAI</t>
  </si>
  <si>
    <t>costo per la fornitura e l'installazione di sensori avanzati che permettono il monitoraggio della luminanza del manto stradale o delle condizioni metereologiche</t>
  </si>
  <si>
    <t>costo_FAI</t>
  </si>
  <si>
    <t>costo di fornitura, installazione e avvio del servizio FAI (servizio di valutazione statistica predittiva, sulla base di
un continuo campionamento, del flusso orario del traffico,
della luminanza del manto stradale e delle condizioni
metereologiche per la regolazione della luminosità.)</t>
  </si>
  <si>
    <t>ipotizziamo che la parte TAI sia gia fatta</t>
  </si>
  <si>
    <r>
      <t xml:space="preserve">PARAMETRI INTERVENTI SMART STREET SERVICES </t>
    </r>
    <r>
      <rPr>
        <sz val="11"/>
        <color theme="1"/>
        <rFont val="Calibri"/>
        <family val="2"/>
        <scheme val="minor"/>
      </rPr>
      <t>(in grassetto i parametri da inserire obbligatoriamente)</t>
    </r>
  </si>
  <si>
    <t>implementazione_PELL</t>
  </si>
  <si>
    <t>Adesione alla piattaforma "Public Energy Living Lab" finalizzata alla raccolta ed organizzazione dei dati monitorati</t>
  </si>
  <si>
    <t>Sì</t>
  </si>
  <si>
    <t>costo_PELL</t>
  </si>
  <si>
    <t>costo per il servizo di installazione piattaforma PELL per la raccolta ed organizzazione dei dati.</t>
  </si>
  <si>
    <t>n_sensori_traffico</t>
  </si>
  <si>
    <t>numero di sensori standard per il monitoraggio del traffico installati</t>
  </si>
  <si>
    <t>Monitoraggio del traffico</t>
  </si>
  <si>
    <t>NB: da completare solo se i sensori e le telecamente di monitoraggio del traffico sono diversi da quelli usati nel TAI</t>
  </si>
  <si>
    <t>numero di telecamere smart installate dotate di un unico pacchetto software che permette il monitaraggio puntuale del traffico</t>
  </si>
  <si>
    <t>numero di telecamere smart installate dotate di 2 pacchetti software che, oltre il monitaraggio del traffico, permettono anche il rilevamento di situazioni pericolose/critiche</t>
  </si>
  <si>
    <t>numero di telecamere smart installate dotate di 3 pacchetti software che, oltre il monitaraggio del traffico e il rilevamento di situazioni pericolose/critiche, realizzano un'altra funzionalità (come ad esempio la rilevazione e il conteggio dei pedoni)</t>
  </si>
  <si>
    <t>costo_conteggio_veicoli</t>
  </si>
  <si>
    <t>costo per la fornitura, l'installazione e l'avvio del servizio di conteggio veicoli e pedoni</t>
  </si>
  <si>
    <t>€ / anno / punto luce</t>
  </si>
  <si>
    <t>costo_tempo_percorrenza</t>
  </si>
  <si>
    <t>costo per la fornitura, l'installazione e l'avvio del servizio di calcolo di velocità e tempo medio di
percorrenza della tratta, rilevazione sosta vietata,
inversione di marcia, incidente stradale e fumo</t>
  </si>
  <si>
    <t>n_sensori_magnetici</t>
  </si>
  <si>
    <t>numero di sensori installati volti al monitoraggio di aree di parcheggio e all'individuazione di aree libere</t>
  </si>
  <si>
    <t>n_telecamere_parcheggi</t>
  </si>
  <si>
    <t>numero di telecamere installate volte al monitoraggio di aree di parcheggio e all'individuazione di aree libere</t>
  </si>
  <si>
    <t>n_parcometri</t>
  </si>
  <si>
    <t>numero di parcometri installati</t>
  </si>
  <si>
    <t xml:space="preserve">Numero parcometri </t>
  </si>
  <si>
    <t>costo_monitoraggio_aree_parcheggio</t>
  </si>
  <si>
    <t>costo per la fornitura, l'installazione e l'avvio del servizio di monitoraggio aree parcheggio con calcolo flusso
entrata e uscita veicoli</t>
  </si>
  <si>
    <t>costo_conteggio_aree_libere</t>
  </si>
  <si>
    <t>costo per la fornitura, l'installazione e l'avvio del servizio di conteggio aree di sosta libere, tempo medio di
sosta, riconoscimento targhe, flussi entrata e uscita</t>
  </si>
  <si>
    <t>n_sensori_ambientali_standard</t>
  </si>
  <si>
    <t>numero di sensori installati volti al monitoraggio di parametri ambientali "standard" (CO, CO2, NO2, O3, PM2.5, PM10, SO2)</t>
  </si>
  <si>
    <t>Monitoraggio ambientale</t>
  </si>
  <si>
    <t>n_sensori_ambientali_avanzati</t>
  </si>
  <si>
    <t>numero di sensori installati volti al monitoraggio di parametri ambientali "evoluti" (C6H6, CH4, H2S, NH3, VOC, PM1)</t>
  </si>
  <si>
    <t>n_centraline_meteo</t>
  </si>
  <si>
    <t>numero di centraline meteo installate</t>
  </si>
  <si>
    <t>Numero centraline</t>
  </si>
  <si>
    <t>costo_monitoraggio_ambientale_base</t>
  </si>
  <si>
    <t>costo per la fornitura, l'installazione e l'avvio del servizio di monitoraggio base della qualità dell’aria (es.
sostanze presenti nell’aria, meteo…)</t>
  </si>
  <si>
    <t>costo_monitoraggio_ambientale_evoluto</t>
  </si>
  <si>
    <t>costo per la fornitura, l'installazione e l'avvio del servizio di monitoraggio ambientale avanzato (es: molecole complesse…)</t>
  </si>
  <si>
    <t>n_telecamere_sorveglianza</t>
  </si>
  <si>
    <t>numero di telecamere volte al rilevamento di situazione critiche installate</t>
  </si>
  <si>
    <t>Telesorveglianza</t>
  </si>
  <si>
    <t>costo_telesorveglianza</t>
  </si>
  <si>
    <t>costo per la fornitura, l'installazione e l'avvio del servizio di telesorveglianza</t>
  </si>
  <si>
    <t>n_pannelli</t>
  </si>
  <si>
    <t>numero di pannelli a messaggio variabile installati</t>
  </si>
  <si>
    <t>Numero pannelli</t>
  </si>
  <si>
    <t>Totem e pannelli informativi</t>
  </si>
  <si>
    <t>n_totem</t>
  </si>
  <si>
    <t>numero di totem informatici installati</t>
  </si>
  <si>
    <t>Numero totem</t>
  </si>
  <si>
    <t>costo_pannelli_totem</t>
  </si>
  <si>
    <t>costo per la fornitura, l'installazione e l'avvio del servizio informativo al cittadino tramite pannelli e totem</t>
  </si>
  <si>
    <t>n_ricariche_pc</t>
  </si>
  <si>
    <t>numero di ricariche per PC e cellulari installate</t>
  </si>
  <si>
    <t>Numero ricariche pc</t>
  </si>
  <si>
    <t>n_ricariche_biciclette</t>
  </si>
  <si>
    <t>numero di ricariche per biciclette elettriche installate</t>
  </si>
  <si>
    <t>Numero ricariche biciclette</t>
  </si>
  <si>
    <t>costo_ricariche</t>
  </si>
  <si>
    <t>costo per la fornitura, l'installazione e l'avvio del servizio di ricarica di dispositivi elettronici e biciclette elettriche</t>
  </si>
  <si>
    <t>n_hotspot</t>
  </si>
  <si>
    <t>numero di hotspot installati (con una copertura di 100 mt)</t>
  </si>
  <si>
    <t>Numero hotspot</t>
  </si>
  <si>
    <t>costo_hotspot</t>
  </si>
  <si>
    <t>costo per la fornitura, l'installazione e l'avvio del servizio di rete Wi-Fi</t>
  </si>
  <si>
    <r>
      <t xml:space="preserve">PARAMETRI INVESTIMENTI </t>
    </r>
    <r>
      <rPr>
        <sz val="11"/>
        <color theme="1"/>
        <rFont val="Calibri"/>
        <family val="2"/>
        <scheme val="minor"/>
      </rPr>
      <t>(in grassetto i parametri da inserire obbligatoriamente)</t>
    </r>
  </si>
  <si>
    <t>Colonna1</t>
  </si>
  <si>
    <t>costo medio ponderato del capitale (Weighted Average Cost of Capital), espresso in percentuale</t>
  </si>
  <si>
    <t>costo_unitario_energia</t>
  </si>
  <si>
    <t>costo per l’acquisto dell’energia</t>
  </si>
  <si>
    <t>€/kWh</t>
  </si>
  <si>
    <t>durata_incentivi</t>
  </si>
  <si>
    <t>numero di anni nei quali si può usufruire dei benefici economici derivanti da incentivi statali per il risparmio di Co2 emessa, ovvero i cosiddetti “Certificati Bianchi”</t>
  </si>
  <si>
    <t>valore_monetario_TEP</t>
  </si>
  <si>
    <t>valore monetario del singolo TEP, o tonnellata equivalente di petrolio in Euro</t>
  </si>
  <si>
    <r>
      <t>€/</t>
    </r>
    <r>
      <rPr>
        <sz val="11"/>
        <color rgb="FFFF0000"/>
        <rFont val="Calibri"/>
        <family val="2"/>
        <scheme val="minor"/>
      </rPr>
      <t>TEE</t>
    </r>
  </si>
  <si>
    <t>ogni titolo di efficienza energetica TEE equivale 1 TEP=100 €</t>
  </si>
  <si>
    <t>durata_ammortamento</t>
  </si>
  <si>
    <t>durata dell’ammortamento misurata in numero di anni</t>
  </si>
  <si>
    <t>contratto_manutenzione_già_presenza</t>
  </si>
  <si>
    <t>Presenza, al momento della realizzazione dell’intervento, un contratto di manutenzione relativo alla pubblica illuminazione</t>
  </si>
  <si>
    <t>costo_gestione</t>
  </si>
  <si>
    <t>costo annuale di gestione della sezione di impianto in termini di personale e asset tangibili</t>
  </si>
  <si>
    <t>costo_cloud</t>
  </si>
  <si>
    <t xml:space="preserve">canone annuo della piaffaforma cloud
(nel caso in cui i dati vengono inviati ad una piattaforma cloud gestita da un operatore terzo) </t>
  </si>
  <si>
    <t>costo_finanziamento</t>
  </si>
  <si>
    <t>costo annuale per la stipulazione di assicurazioni, fidejussioni, etc. ai fini della stipula di finanziamento</t>
  </si>
  <si>
    <r>
      <t xml:space="preserve">PARAMETRI STRUMENTI FINANZIARI </t>
    </r>
    <r>
      <rPr>
        <sz val="11"/>
        <color theme="1"/>
        <rFont val="Calibri"/>
        <family val="2"/>
        <scheme val="minor"/>
      </rPr>
      <t>(in grassetto i parametri da inserire obbligatoriamente)</t>
    </r>
  </si>
  <si>
    <t>modalità_finanziamento</t>
  </si>
  <si>
    <t>modalità con cui è stato finanziato l'intervento</t>
  </si>
  <si>
    <t>Autofinanziamento</t>
  </si>
  <si>
    <t>durata_progetto_anni</t>
  </si>
  <si>
    <t>durata del progetto di finanziamento (espressi in anni)</t>
  </si>
  <si>
    <t>quota_Comune</t>
  </si>
  <si>
    <t>quota parte dell'investimento totale attribuita a capitale proprio del Comune (espressa in percentuale)</t>
  </si>
  <si>
    <t>quota_debito</t>
  </si>
  <si>
    <t>quota parte dell'investimento totale attribuita a capitale di debito degli istituti di credito (espressa in percentuale)</t>
  </si>
  <si>
    <t>quota_finanziata</t>
  </si>
  <si>
    <t>quota parte dell'investimento totale attribuita a capitale del soggetto privato, ad esempio ESCo (espressa in percentuale)</t>
  </si>
  <si>
    <t>canone_annuo</t>
  </si>
  <si>
    <t>in caso di intervento non realizzato in autofinanziamento, il canone annuo che il soggetto investitore ha richiesto per effettuare l’investimento (espresso in €/anno)</t>
  </si>
  <si>
    <t>€/annno</t>
  </si>
  <si>
    <t>NB: da completare nel caso di intervento NON realizzato in autofinanziamento</t>
  </si>
  <si>
    <t>imposte</t>
  </si>
  <si>
    <t>tasso percentuale relativo alle imposte a carico del soggetto privato</t>
  </si>
  <si>
    <t>Consumo energetico pre intervento (kWh/anno)</t>
  </si>
  <si>
    <t>Bolletta energetica pre intervento (€/anno)</t>
  </si>
  <si>
    <t xml:space="preserve"> TOTALE Consumo energetico pre intervento (kWh/anno)</t>
  </si>
  <si>
    <t>TOTALE Bolletta energetica pre intervento (€/anno)</t>
  </si>
  <si>
    <t>Consumo energetico post intervento (kWh/anno)</t>
  </si>
  <si>
    <t>Bolletta energetica post intervento (€/anno)</t>
  </si>
  <si>
    <t>Investimento complessivo €</t>
  </si>
  <si>
    <t>TOTALE Consumo energetico post intervento (kWh/anno)</t>
  </si>
  <si>
    <t>TOTALE Bolletta energetica post intervento (€/anno)</t>
  </si>
  <si>
    <t>TOTALE Investimento complessivo €</t>
  </si>
  <si>
    <t>TOTALE Numero di lampade</t>
  </si>
  <si>
    <t>Prezzo</t>
  </si>
  <si>
    <t>costo sistema controllo</t>
  </si>
  <si>
    <t>costo palo</t>
  </si>
  <si>
    <t>costo rifacimento imp elettrico</t>
  </si>
  <si>
    <t>costo attività prodromiche</t>
  </si>
  <si>
    <t>costo apparecchio illuminazione (129 lampade)</t>
  </si>
  <si>
    <t>costo apparecchio illuminazione (10 lampade)</t>
  </si>
  <si>
    <t>Costo apparecchio illuminazione</t>
  </si>
  <si>
    <t>Costo sistema controllo</t>
  </si>
  <si>
    <t>Costo palo</t>
  </si>
  <si>
    <t>Costo rifacimento imp elettrico</t>
  </si>
  <si>
    <t>Costo attività prodromiche</t>
  </si>
  <si>
    <t>Costo software iniziale telecamera smart - FAI</t>
  </si>
  <si>
    <t>Costo quadri elettrici</t>
  </si>
  <si>
    <t>costo quadri elettrici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</si>
</sst>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0\ &quot;€&quot;"/>
    <numFmt numFmtId="166" formatCode="#,##0\ &quot;€&quot;"/>
    <numFmt numFmtId="167" formatCode="#,##0.0\ &quot;€&quot;"/>
    <numFmt numFmtId="168" formatCode="_-* #,##0\ &quot;€&quot;_-;\-* #,##0\ &quot;€&quot;_-;_-* &quot;-&quot;?\ &quot;€&quot;_-;_-@_-"/>
    <numFmt numFmtId="169" formatCode="_-* #,##0\ &quot;€&quot;_-;\-* #,##0\ &quot;€&quot;_-;_-* &quot;-&quot;??\ &quot;€&quot;_-;_-@_-"/>
    <numFmt numFmtId="170" formatCode="_-* #,##0\ _€_-;\-* #,##0\ _€_-;_-* &quot;-&quot;??\ _€_-;_-@_-"/>
  </numFmts>
  <fonts count="40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name val="Arial"/>
      <family val="2"/>
    </font>
    <font>
      <sz val="16"/>
      <name val="Calibri"/>
      <family val="2"/>
      <scheme val="minor"/>
    </font>
    <font>
      <sz val="16"/>
      <color rgb="FFC00000"/>
      <name val="Calibri"/>
      <family val="2"/>
      <scheme val="minor"/>
    </font>
    <font>
      <sz val="16"/>
      <color indexed="8"/>
      <name val="Calibri"/>
      <family val="2"/>
      <scheme val="minor"/>
    </font>
    <font>
      <vertAlign val="superscript"/>
      <sz val="16"/>
      <name val="Calibri"/>
      <family val="2"/>
      <scheme val="minor"/>
    </font>
    <font>
      <vertAlign val="subscript"/>
      <sz val="16"/>
      <name val="Calibri"/>
      <family val="2"/>
      <scheme val="minor"/>
    </font>
    <font>
      <sz val="16"/>
      <color rgb="FFFF0000"/>
      <name val="Calibri"/>
      <family val="2"/>
      <scheme val="minor"/>
    </font>
    <font>
      <sz val="2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0"/>
      <color indexed="81"/>
      <name val="Calibri"/>
      <family val="2"/>
    </font>
    <font>
      <b/>
      <sz val="10"/>
      <color indexed="81"/>
      <name val="Calibri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trike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20"/>
      <color indexed="81"/>
      <name val="Tahoma"/>
      <family val="2"/>
    </font>
  </fonts>
  <fills count="2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</fills>
  <borders count="56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theme="4"/>
      </left>
      <right style="thin">
        <color theme="4"/>
      </right>
      <top style="medium">
        <color indexed="64"/>
      </top>
      <bottom style="thin">
        <color theme="4"/>
      </bottom>
      <diagonal/>
    </border>
    <border>
      <left style="thin">
        <color theme="4"/>
      </left>
      <right style="medium">
        <color indexed="64"/>
      </right>
      <top style="medium">
        <color indexed="6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medium">
        <color indexed="64"/>
      </bottom>
      <diagonal/>
    </border>
    <border>
      <left style="thin">
        <color theme="4"/>
      </left>
      <right style="medium">
        <color indexed="64"/>
      </right>
      <top style="thin">
        <color theme="4"/>
      </top>
      <bottom style="medium">
        <color indexed="6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medium">
        <color indexed="64"/>
      </right>
      <top style="thin">
        <color theme="4"/>
      </top>
      <bottom style="thin">
        <color theme="4"/>
      </bottom>
      <diagonal/>
    </border>
  </borders>
  <cellStyleXfs count="7">
    <xf numFmtId="0" fontId="0" fillId="0" borderId="0"/>
    <xf numFmtId="43" fontId="3" fillId="0" borderId="0" applyFont="0" applyFill="0" applyBorder="0" applyAlignment="0" applyProtection="0"/>
    <xf numFmtId="0" fontId="5" fillId="0" borderId="0"/>
    <xf numFmtId="0" fontId="5" fillId="0" borderId="0"/>
    <xf numFmtId="9" fontId="3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</cellStyleXfs>
  <cellXfs count="486">
    <xf numFmtId="0" fontId="0" fillId="0" borderId="0" xfId="0"/>
    <xf numFmtId="0" fontId="0" fillId="0" borderId="4" xfId="0" applyBorder="1"/>
    <xf numFmtId="9" fontId="0" fillId="0" borderId="5" xfId="0" applyNumberFormat="1" applyBorder="1"/>
    <xf numFmtId="0" fontId="0" fillId="0" borderId="6" xfId="0" applyBorder="1"/>
    <xf numFmtId="0" fontId="0" fillId="0" borderId="7" xfId="0" applyBorder="1"/>
    <xf numFmtId="0" fontId="1" fillId="3" borderId="1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2" fillId="2" borderId="1" xfId="0" applyFont="1" applyFill="1" applyBorder="1"/>
    <xf numFmtId="0" fontId="0" fillId="2" borderId="3" xfId="0" applyFill="1" applyBorder="1"/>
    <xf numFmtId="0" fontId="2" fillId="0" borderId="1" xfId="0" applyFont="1" applyBorder="1"/>
    <xf numFmtId="0" fontId="0" fillId="0" borderId="3" xfId="0" applyBorder="1"/>
    <xf numFmtId="0" fontId="2" fillId="0" borderId="6" xfId="0" applyFont="1" applyBorder="1"/>
    <xf numFmtId="0" fontId="0" fillId="0" borderId="0" xfId="0" applyBorder="1"/>
    <xf numFmtId="3" fontId="0" fillId="0" borderId="0" xfId="0" applyNumberFormat="1" applyBorder="1"/>
    <xf numFmtId="0" fontId="2" fillId="0" borderId="0" xfId="0" applyFont="1" applyBorder="1"/>
    <xf numFmtId="0" fontId="2" fillId="0" borderId="8" xfId="0" applyFont="1" applyFill="1" applyBorder="1"/>
    <xf numFmtId="0" fontId="2" fillId="0" borderId="4" xfId="0" applyFont="1" applyFill="1" applyBorder="1"/>
    <xf numFmtId="0" fontId="2" fillId="0" borderId="0" xfId="0" applyFon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0" fillId="0" borderId="8" xfId="0" applyBorder="1"/>
    <xf numFmtId="0" fontId="0" fillId="0" borderId="6" xfId="0" applyFill="1" applyBorder="1"/>
    <xf numFmtId="0" fontId="2" fillId="5" borderId="1" xfId="0" applyFont="1" applyFill="1" applyBorder="1"/>
    <xf numFmtId="0" fontId="2" fillId="5" borderId="2" xfId="0" applyFont="1" applyFill="1" applyBorder="1"/>
    <xf numFmtId="0" fontId="2" fillId="2" borderId="12" xfId="0" applyFont="1" applyFill="1" applyBorder="1"/>
    <xf numFmtId="0" fontId="2" fillId="2" borderId="13" xfId="0" applyFont="1" applyFill="1" applyBorder="1"/>
    <xf numFmtId="0" fontId="2" fillId="2" borderId="14" xfId="0" applyFont="1" applyFill="1" applyBorder="1"/>
    <xf numFmtId="0" fontId="4" fillId="0" borderId="0" xfId="0" applyFont="1" applyFill="1" applyAlignment="1">
      <alignment horizontal="center"/>
    </xf>
    <xf numFmtId="0" fontId="6" fillId="0" borderId="0" xfId="2" applyFont="1" applyFill="1" applyBorder="1" applyAlignment="1"/>
    <xf numFmtId="0" fontId="6" fillId="0" borderId="0" xfId="2" applyFont="1" applyFill="1" applyBorder="1" applyAlignment="1">
      <alignment horizontal="center"/>
    </xf>
    <xf numFmtId="164" fontId="6" fillId="0" borderId="0" xfId="2" applyNumberFormat="1" applyFont="1" applyFill="1" applyBorder="1" applyAlignment="1">
      <alignment horizontal="center"/>
    </xf>
    <xf numFmtId="0" fontId="6" fillId="0" borderId="0" xfId="2" applyFont="1" applyFill="1" applyAlignment="1">
      <alignment horizontal="center"/>
    </xf>
    <xf numFmtId="2" fontId="6" fillId="0" borderId="0" xfId="2" applyNumberFormat="1" applyFont="1" applyFill="1" applyBorder="1" applyAlignment="1">
      <alignment horizontal="center" vertical="center"/>
    </xf>
    <xf numFmtId="0" fontId="6" fillId="0" borderId="0" xfId="2" applyFont="1" applyFill="1" applyBorder="1" applyAlignment="1">
      <alignment horizontal="center" vertical="center"/>
    </xf>
    <xf numFmtId="2" fontId="7" fillId="0" borderId="0" xfId="2" applyNumberFormat="1" applyFont="1" applyFill="1" applyBorder="1" applyAlignment="1">
      <alignment horizontal="center"/>
    </xf>
    <xf numFmtId="2" fontId="6" fillId="0" borderId="0" xfId="2" applyNumberFormat="1" applyFont="1" applyFill="1" applyAlignment="1">
      <alignment horizontal="center"/>
    </xf>
    <xf numFmtId="2" fontId="6" fillId="0" borderId="15" xfId="2" applyNumberFormat="1" applyFont="1" applyFill="1" applyBorder="1" applyAlignment="1">
      <alignment horizontal="center"/>
    </xf>
    <xf numFmtId="1" fontId="6" fillId="0" borderId="15" xfId="2" applyNumberFormat="1" applyFont="1" applyFill="1" applyBorder="1" applyAlignment="1">
      <alignment horizontal="center"/>
    </xf>
    <xf numFmtId="0" fontId="6" fillId="0" borderId="0" xfId="2" applyFont="1" applyFill="1" applyAlignment="1">
      <alignment horizontal="center" vertical="center"/>
    </xf>
    <xf numFmtId="0" fontId="6" fillId="0" borderId="15" xfId="2" applyFont="1" applyFill="1" applyBorder="1" applyAlignment="1">
      <alignment horizontal="center" wrapText="1"/>
    </xf>
    <xf numFmtId="0" fontId="6" fillId="0" borderId="1" xfId="2" applyFont="1" applyFill="1" applyBorder="1" applyAlignment="1">
      <alignment horizontal="center" wrapText="1"/>
    </xf>
    <xf numFmtId="0" fontId="8" fillId="0" borderId="15" xfId="2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8" fillId="0" borderId="15" xfId="2" applyFont="1" applyFill="1" applyBorder="1" applyAlignment="1">
      <alignment horizontal="center" vertical="top" wrapText="1"/>
    </xf>
    <xf numFmtId="164" fontId="6" fillId="0" borderId="15" xfId="2" applyNumberFormat="1" applyFont="1" applyFill="1" applyBorder="1" applyAlignment="1">
      <alignment horizontal="center"/>
    </xf>
    <xf numFmtId="0" fontId="6" fillId="0" borderId="15" xfId="2" applyFont="1" applyFill="1" applyBorder="1" applyAlignment="1">
      <alignment horizontal="center"/>
    </xf>
    <xf numFmtId="0" fontId="6" fillId="0" borderId="1" xfId="2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/>
    </xf>
    <xf numFmtId="0" fontId="6" fillId="0" borderId="15" xfId="2" applyFont="1" applyFill="1" applyBorder="1" applyAlignment="1">
      <alignment horizontal="center" vertical="center"/>
    </xf>
    <xf numFmtId="0" fontId="6" fillId="0" borderId="15" xfId="2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/>
    </xf>
    <xf numFmtId="0" fontId="4" fillId="0" borderId="0" xfId="0" applyFont="1" applyFill="1"/>
    <xf numFmtId="0" fontId="6" fillId="0" borderId="15" xfId="2" applyNumberFormat="1" applyFont="1" applyFill="1" applyBorder="1" applyAlignment="1">
      <alignment horizontal="center"/>
    </xf>
    <xf numFmtId="2" fontId="4" fillId="0" borderId="15" xfId="2" applyNumberFormat="1" applyFont="1" applyFill="1" applyBorder="1" applyAlignment="1">
      <alignment horizontal="center"/>
    </xf>
    <xf numFmtId="0" fontId="6" fillId="0" borderId="15" xfId="1" applyNumberFormat="1" applyFont="1" applyFill="1" applyBorder="1" applyAlignment="1">
      <alignment horizontal="center"/>
    </xf>
    <xf numFmtId="9" fontId="6" fillId="0" borderId="15" xfId="2" applyNumberFormat="1" applyFont="1" applyFill="1" applyBorder="1" applyAlignment="1">
      <alignment horizontal="center"/>
    </xf>
    <xf numFmtId="0" fontId="6" fillId="0" borderId="0" xfId="3" applyFont="1" applyFill="1" applyAlignment="1">
      <alignment horizontal="center"/>
    </xf>
    <xf numFmtId="0" fontId="6" fillId="0" borderId="0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center"/>
    </xf>
    <xf numFmtId="3" fontId="6" fillId="0" borderId="0" xfId="0" applyNumberFormat="1" applyFont="1" applyFill="1" applyAlignment="1">
      <alignment horizontal="center"/>
    </xf>
    <xf numFmtId="164" fontId="6" fillId="0" borderId="0" xfId="0" applyNumberFormat="1" applyFont="1" applyFill="1" applyBorder="1" applyAlignment="1">
      <alignment horizontal="center"/>
    </xf>
    <xf numFmtId="1" fontId="6" fillId="0" borderId="0" xfId="0" applyNumberFormat="1" applyFont="1" applyFill="1" applyBorder="1" applyAlignment="1">
      <alignment horizontal="center"/>
    </xf>
    <xf numFmtId="0" fontId="11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2" fontId="6" fillId="0" borderId="0" xfId="2" applyNumberFormat="1" applyFont="1" applyFill="1" applyBorder="1" applyAlignment="1">
      <alignment horizontal="center"/>
    </xf>
    <xf numFmtId="0" fontId="6" fillId="0" borderId="0" xfId="2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49" fontId="6" fillId="0" borderId="15" xfId="2" applyNumberFormat="1" applyFont="1" applyFill="1" applyBorder="1" applyAlignment="1">
      <alignment horizontal="center"/>
    </xf>
    <xf numFmtId="0" fontId="6" fillId="0" borderId="1" xfId="2" applyFont="1" applyFill="1" applyBorder="1" applyAlignment="1">
      <alignment horizontal="center" vertical="center" wrapText="1"/>
    </xf>
    <xf numFmtId="0" fontId="12" fillId="0" borderId="0" xfId="3" applyFont="1" applyFill="1" applyAlignment="1">
      <alignment horizontal="left"/>
    </xf>
    <xf numFmtId="0" fontId="2" fillId="0" borderId="0" xfId="0" applyFont="1"/>
    <xf numFmtId="0" fontId="0" fillId="0" borderId="6" xfId="0" applyFont="1" applyBorder="1"/>
    <xf numFmtId="0" fontId="0" fillId="0" borderId="1" xfId="0" applyBorder="1"/>
    <xf numFmtId="0" fontId="0" fillId="0" borderId="0" xfId="0" applyFill="1"/>
    <xf numFmtId="0" fontId="0" fillId="0" borderId="4" xfId="0" applyFont="1" applyFill="1" applyBorder="1"/>
    <xf numFmtId="0" fontId="13" fillId="0" borderId="0" xfId="0" applyFont="1"/>
    <xf numFmtId="165" fontId="0" fillId="0" borderId="9" xfId="0" applyNumberFormat="1" applyBorder="1"/>
    <xf numFmtId="165" fontId="0" fillId="0" borderId="5" xfId="0" applyNumberFormat="1" applyBorder="1"/>
    <xf numFmtId="9" fontId="2" fillId="5" borderId="2" xfId="4" applyFont="1" applyFill="1" applyBorder="1"/>
    <xf numFmtId="0" fontId="0" fillId="0" borderId="1" xfId="0" applyFill="1" applyBorder="1"/>
    <xf numFmtId="9" fontId="0" fillId="0" borderId="9" xfId="0" applyNumberFormat="1" applyBorder="1"/>
    <xf numFmtId="0" fontId="0" fillId="0" borderId="15" xfId="0" applyBorder="1" applyAlignment="1">
      <alignment horizontal="center"/>
    </xf>
    <xf numFmtId="0" fontId="0" fillId="0" borderId="0" xfId="0" applyAlignment="1">
      <alignment horizontal="left"/>
    </xf>
    <xf numFmtId="0" fontId="17" fillId="0" borderId="0" xfId="0" applyFont="1"/>
    <xf numFmtId="0" fontId="18" fillId="0" borderId="0" xfId="0" applyFont="1" applyFill="1" applyBorder="1" applyAlignment="1"/>
    <xf numFmtId="0" fontId="17" fillId="0" borderId="0" xfId="0" applyFont="1" applyFill="1" applyBorder="1" applyAlignment="1"/>
    <xf numFmtId="0" fontId="18" fillId="0" borderId="0" xfId="0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/>
    </xf>
    <xf numFmtId="3" fontId="18" fillId="0" borderId="0" xfId="0" applyNumberFormat="1" applyFont="1" applyFill="1" applyBorder="1" applyAlignment="1"/>
    <xf numFmtId="3" fontId="0" fillId="0" borderId="0" xfId="0" applyNumberFormat="1" applyFill="1" applyBorder="1"/>
    <xf numFmtId="0" fontId="0" fillId="0" borderId="4" xfId="0" applyFill="1" applyBorder="1"/>
    <xf numFmtId="3" fontId="17" fillId="0" borderId="0" xfId="0" applyNumberFormat="1" applyFont="1"/>
    <xf numFmtId="0" fontId="17" fillId="0" borderId="0" xfId="0" applyFont="1" applyFill="1" applyBorder="1"/>
    <xf numFmtId="0" fontId="18" fillId="0" borderId="0" xfId="0" applyFont="1" applyFill="1" applyBorder="1" applyAlignment="1">
      <alignment horizontal="center"/>
    </xf>
    <xf numFmtId="44" fontId="0" fillId="0" borderId="9" xfId="0" applyNumberFormat="1" applyBorder="1"/>
    <xf numFmtId="0" fontId="2" fillId="5" borderId="8" xfId="0" applyFont="1" applyFill="1" applyBorder="1"/>
    <xf numFmtId="0" fontId="2" fillId="5" borderId="9" xfId="0" applyFont="1" applyFill="1" applyBorder="1"/>
    <xf numFmtId="42" fontId="0" fillId="0" borderId="9" xfId="0" applyNumberFormat="1" applyBorder="1"/>
    <xf numFmtId="42" fontId="0" fillId="0" borderId="0" xfId="0" applyNumberFormat="1"/>
    <xf numFmtId="0" fontId="0" fillId="0" borderId="0" xfId="0" quotePrefix="1"/>
    <xf numFmtId="167" fontId="0" fillId="0" borderId="5" xfId="0" applyNumberFormat="1" applyBorder="1"/>
    <xf numFmtId="42" fontId="2" fillId="0" borderId="8" xfId="0" applyNumberFormat="1" applyFont="1" applyBorder="1"/>
    <xf numFmtId="42" fontId="0" fillId="0" borderId="10" xfId="0" applyNumberFormat="1" applyBorder="1"/>
    <xf numFmtId="42" fontId="2" fillId="0" borderId="4" xfId="0" applyNumberFormat="1" applyFont="1" applyBorder="1"/>
    <xf numFmtId="42" fontId="0" fillId="0" borderId="0" xfId="0" applyNumberFormat="1" applyBorder="1"/>
    <xf numFmtId="42" fontId="2" fillId="0" borderId="6" xfId="0" applyNumberFormat="1" applyFont="1" applyBorder="1"/>
    <xf numFmtId="42" fontId="0" fillId="0" borderId="11" xfId="0" applyNumberFormat="1" applyBorder="1"/>
    <xf numFmtId="42" fontId="2" fillId="0" borderId="11" xfId="0" applyNumberFormat="1" applyFont="1" applyBorder="1"/>
    <xf numFmtId="42" fontId="2" fillId="4" borderId="3" xfId="0" applyNumberFormat="1" applyFont="1" applyFill="1" applyBorder="1"/>
    <xf numFmtId="166" fontId="0" fillId="0" borderId="0" xfId="0" applyNumberFormat="1"/>
    <xf numFmtId="166" fontId="0" fillId="0" borderId="0" xfId="0" applyNumberFormat="1" applyBorder="1"/>
    <xf numFmtId="166" fontId="2" fillId="4" borderId="1" xfId="0" applyNumberFormat="1" applyFont="1" applyFill="1" applyBorder="1"/>
    <xf numFmtId="0" fontId="0" fillId="6" borderId="11" xfId="0" applyFill="1" applyBorder="1"/>
    <xf numFmtId="9" fontId="0" fillId="6" borderId="5" xfId="0" applyNumberFormat="1" applyFill="1" applyBorder="1"/>
    <xf numFmtId="9" fontId="0" fillId="6" borderId="5" xfId="4" applyFont="1" applyFill="1" applyBorder="1"/>
    <xf numFmtId="165" fontId="0" fillId="6" borderId="9" xfId="0" applyNumberFormat="1" applyFill="1" applyBorder="1"/>
    <xf numFmtId="9" fontId="0" fillId="5" borderId="2" xfId="4" applyFont="1" applyFill="1" applyBorder="1"/>
    <xf numFmtId="0" fontId="2" fillId="5" borderId="6" xfId="0" applyFont="1" applyFill="1" applyBorder="1"/>
    <xf numFmtId="167" fontId="2" fillId="5" borderId="7" xfId="0" applyNumberFormat="1" applyFont="1" applyFill="1" applyBorder="1"/>
    <xf numFmtId="42" fontId="0" fillId="0" borderId="21" xfId="0" applyNumberFormat="1" applyBorder="1"/>
    <xf numFmtId="0" fontId="2" fillId="5" borderId="8" xfId="0" applyFont="1" applyFill="1" applyBorder="1" applyAlignment="1">
      <alignment horizontal="left"/>
    </xf>
    <xf numFmtId="165" fontId="0" fillId="5" borderId="2" xfId="0" applyNumberFormat="1" applyFill="1" applyBorder="1"/>
    <xf numFmtId="0" fontId="0" fillId="0" borderId="8" xfId="0" quotePrefix="1" applyFont="1" applyFill="1" applyBorder="1"/>
    <xf numFmtId="0" fontId="2" fillId="0" borderId="0" xfId="0" applyFont="1" applyFill="1" applyBorder="1"/>
    <xf numFmtId="166" fontId="0" fillId="0" borderId="0" xfId="0" applyNumberFormat="1" applyFill="1" applyBorder="1"/>
    <xf numFmtId="0" fontId="2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2" fillId="0" borderId="0" xfId="0" applyFont="1" applyFill="1"/>
    <xf numFmtId="0" fontId="1" fillId="0" borderId="0" xfId="0" applyFont="1" applyFill="1" applyBorder="1" applyAlignment="1">
      <alignment horizontal="center"/>
    </xf>
    <xf numFmtId="0" fontId="0" fillId="0" borderId="8" xfId="0" applyFill="1" applyBorder="1"/>
    <xf numFmtId="0" fontId="0" fillId="6" borderId="15" xfId="0" applyFill="1" applyBorder="1"/>
    <xf numFmtId="9" fontId="0" fillId="0" borderId="5" xfId="4" applyFont="1" applyFill="1" applyBorder="1"/>
    <xf numFmtId="9" fontId="0" fillId="0" borderId="5" xfId="0" applyNumberFormat="1" applyFill="1" applyBorder="1"/>
    <xf numFmtId="42" fontId="0" fillId="0" borderId="0" xfId="0" applyNumberFormat="1" applyFill="1" applyBorder="1"/>
    <xf numFmtId="42" fontId="2" fillId="0" borderId="0" xfId="0" applyNumberFormat="1" applyFont="1" applyFill="1" applyBorder="1"/>
    <xf numFmtId="165" fontId="0" fillId="0" borderId="0" xfId="0" applyNumberFormat="1" applyFill="1" applyBorder="1"/>
    <xf numFmtId="0" fontId="2" fillId="2" borderId="25" xfId="0" applyFont="1" applyFill="1" applyBorder="1"/>
    <xf numFmtId="165" fontId="0" fillId="0" borderId="14" xfId="0" applyNumberFormat="1" applyBorder="1"/>
    <xf numFmtId="3" fontId="0" fillId="0" borderId="0" xfId="0" applyNumberFormat="1" applyFont="1"/>
    <xf numFmtId="0" fontId="0" fillId="0" borderId="0" xfId="0" applyFont="1"/>
    <xf numFmtId="0" fontId="0" fillId="0" borderId="0" xfId="0" applyFont="1" applyFill="1" applyBorder="1"/>
    <xf numFmtId="3" fontId="0" fillId="0" borderId="0" xfId="0" applyNumberFormat="1" applyFont="1" applyFill="1" applyBorder="1"/>
    <xf numFmtId="0" fontId="13" fillId="0" borderId="0" xfId="0" applyFont="1" applyAlignment="1">
      <alignment horizontal="center"/>
    </xf>
    <xf numFmtId="0" fontId="14" fillId="0" borderId="12" xfId="0" applyFont="1" applyFill="1" applyBorder="1"/>
    <xf numFmtId="0" fontId="0" fillId="0" borderId="14" xfId="0" applyBorder="1"/>
    <xf numFmtId="3" fontId="2" fillId="0" borderId="0" xfId="0" applyNumberFormat="1" applyFont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0" fontId="0" fillId="0" borderId="2" xfId="0" applyBorder="1"/>
    <xf numFmtId="165" fontId="0" fillId="0" borderId="3" xfId="0" applyNumberFormat="1" applyBorder="1"/>
    <xf numFmtId="0" fontId="2" fillId="0" borderId="4" xfId="0" applyFont="1" applyBorder="1"/>
    <xf numFmtId="42" fontId="0" fillId="0" borderId="0" xfId="1" applyNumberFormat="1" applyFont="1" applyBorder="1" applyAlignment="1">
      <alignment horizontal="right"/>
    </xf>
    <xf numFmtId="0" fontId="2" fillId="5" borderId="3" xfId="0" applyFont="1" applyFill="1" applyBorder="1"/>
    <xf numFmtId="0" fontId="2" fillId="0" borderId="8" xfId="0" applyFont="1" applyBorder="1"/>
    <xf numFmtId="0" fontId="2" fillId="0" borderId="6" xfId="0" applyFont="1" applyFill="1" applyBorder="1"/>
    <xf numFmtId="0" fontId="2" fillId="0" borderId="16" xfId="0" applyFont="1" applyBorder="1"/>
    <xf numFmtId="0" fontId="2" fillId="0" borderId="30" xfId="0" applyFont="1" applyBorder="1"/>
    <xf numFmtId="0" fontId="0" fillId="0" borderId="5" xfId="0" applyBorder="1"/>
    <xf numFmtId="0" fontId="2" fillId="8" borderId="21" xfId="0" applyFont="1" applyFill="1" applyBorder="1"/>
    <xf numFmtId="3" fontId="0" fillId="0" borderId="9" xfId="0" applyNumberFormat="1" applyBorder="1"/>
    <xf numFmtId="0" fontId="2" fillId="2" borderId="26" xfId="0" applyFont="1" applyFill="1" applyBorder="1"/>
    <xf numFmtId="0" fontId="2" fillId="2" borderId="27" xfId="0" applyFont="1" applyFill="1" applyBorder="1"/>
    <xf numFmtId="0" fontId="0" fillId="0" borderId="15" xfId="0" applyFont="1" applyFill="1" applyBorder="1" applyAlignment="1">
      <alignment horizontal="center"/>
    </xf>
    <xf numFmtId="0" fontId="2" fillId="0" borderId="31" xfId="0" applyFont="1" applyBorder="1"/>
    <xf numFmtId="0" fontId="2" fillId="0" borderId="31" xfId="0" applyFont="1" applyFill="1" applyBorder="1"/>
    <xf numFmtId="0" fontId="2" fillId="5" borderId="10" xfId="0" applyFont="1" applyFill="1" applyBorder="1"/>
    <xf numFmtId="42" fontId="0" fillId="0" borderId="5" xfId="0" applyNumberFormat="1" applyBorder="1"/>
    <xf numFmtId="42" fontId="0" fillId="0" borderId="0" xfId="1" applyNumberFormat="1" applyFont="1" applyFill="1" applyBorder="1" applyAlignment="1">
      <alignment horizontal="right"/>
    </xf>
    <xf numFmtId="0" fontId="2" fillId="0" borderId="31" xfId="0" applyFont="1" applyBorder="1" applyAlignment="1">
      <alignment vertical="center"/>
    </xf>
    <xf numFmtId="0" fontId="0" fillId="0" borderId="15" xfId="0" applyFont="1" applyFill="1" applyBorder="1" applyAlignment="1">
      <alignment horizontal="center" wrapText="1"/>
    </xf>
    <xf numFmtId="165" fontId="0" fillId="0" borderId="21" xfId="0" applyNumberFormat="1" applyBorder="1"/>
    <xf numFmtId="0" fontId="0" fillId="0" borderId="15" xfId="0" applyFont="1" applyFill="1" applyBorder="1" applyAlignment="1">
      <alignment horizontal="center" vertical="center"/>
    </xf>
    <xf numFmtId="0" fontId="2" fillId="2" borderId="25" xfId="0" applyFont="1" applyFill="1" applyBorder="1" applyAlignment="1">
      <alignment horizontal="center"/>
    </xf>
    <xf numFmtId="0" fontId="2" fillId="2" borderId="26" xfId="0" applyFont="1" applyFill="1" applyBorder="1" applyAlignment="1">
      <alignment horizontal="center"/>
    </xf>
    <xf numFmtId="0" fontId="2" fillId="2" borderId="27" xfId="0" applyFont="1" applyFill="1" applyBorder="1" applyAlignment="1">
      <alignment horizontal="center"/>
    </xf>
    <xf numFmtId="3" fontId="0" fillId="0" borderId="33" xfId="0" applyNumberFormat="1" applyBorder="1" applyAlignment="1">
      <alignment horizontal="center"/>
    </xf>
    <xf numFmtId="0" fontId="0" fillId="8" borderId="18" xfId="0" applyFill="1" applyBorder="1"/>
    <xf numFmtId="0" fontId="0" fillId="8" borderId="19" xfId="0" applyFill="1" applyBorder="1"/>
    <xf numFmtId="0" fontId="0" fillId="8" borderId="20" xfId="0" applyFill="1" applyBorder="1"/>
    <xf numFmtId="3" fontId="0" fillId="0" borderId="34" xfId="0" applyNumberFormat="1" applyBorder="1"/>
    <xf numFmtId="0" fontId="0" fillId="8" borderId="19" xfId="0" applyFill="1" applyBorder="1" applyAlignment="1">
      <alignment horizontal="center"/>
    </xf>
    <xf numFmtId="0" fontId="0" fillId="8" borderId="20" xfId="0" applyFill="1" applyBorder="1" applyAlignment="1">
      <alignment horizontal="center"/>
    </xf>
    <xf numFmtId="3" fontId="2" fillId="0" borderId="18" xfId="0" applyNumberFormat="1" applyFont="1" applyBorder="1" applyAlignment="1">
      <alignment horizontal="center"/>
    </xf>
    <xf numFmtId="0" fontId="2" fillId="0" borderId="20" xfId="0" applyFont="1" applyFill="1" applyBorder="1" applyAlignment="1">
      <alignment horizontal="center"/>
    </xf>
    <xf numFmtId="0" fontId="0" fillId="6" borderId="15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3" fontId="0" fillId="0" borderId="15" xfId="0" applyNumberForma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10" borderId="15" xfId="0" applyFill="1" applyBorder="1" applyAlignment="1">
      <alignment horizontal="center"/>
    </xf>
    <xf numFmtId="0" fontId="0" fillId="10" borderId="15" xfId="0" applyFont="1" applyFill="1" applyBorder="1" applyAlignment="1">
      <alignment horizontal="center"/>
    </xf>
    <xf numFmtId="0" fontId="21" fillId="0" borderId="0" xfId="0" applyFont="1"/>
    <xf numFmtId="42" fontId="0" fillId="0" borderId="32" xfId="0" applyNumberFormat="1" applyFont="1" applyBorder="1"/>
    <xf numFmtId="165" fontId="0" fillId="0" borderId="32" xfId="0" applyNumberFormat="1" applyBorder="1"/>
    <xf numFmtId="165" fontId="0" fillId="0" borderId="32" xfId="0" applyNumberFormat="1" applyBorder="1" applyAlignment="1">
      <alignment vertical="center"/>
    </xf>
    <xf numFmtId="165" fontId="0" fillId="0" borderId="28" xfId="0" applyNumberFormat="1" applyBorder="1"/>
    <xf numFmtId="165" fontId="0" fillId="0" borderId="17" xfId="0" applyNumberFormat="1" applyBorder="1"/>
    <xf numFmtId="165" fontId="0" fillId="0" borderId="20" xfId="0" applyNumberFormat="1" applyBorder="1"/>
    <xf numFmtId="42" fontId="0" fillId="0" borderId="5" xfId="1" applyNumberFormat="1" applyFont="1" applyFill="1" applyBorder="1" applyAlignment="1"/>
    <xf numFmtId="42" fontId="0" fillId="0" borderId="9" xfId="0" applyNumberFormat="1" applyFill="1" applyBorder="1"/>
    <xf numFmtId="42" fontId="0" fillId="0" borderId="5" xfId="0" applyNumberFormat="1" applyFill="1" applyBorder="1"/>
    <xf numFmtId="166" fontId="0" fillId="0" borderId="9" xfId="0" applyNumberFormat="1" applyFill="1" applyBorder="1" applyAlignment="1">
      <alignment horizontal="center"/>
    </xf>
    <xf numFmtId="166" fontId="0" fillId="0" borderId="7" xfId="0" applyNumberFormat="1" applyFill="1" applyBorder="1" applyAlignment="1">
      <alignment horizontal="center"/>
    </xf>
    <xf numFmtId="168" fontId="0" fillId="0" borderId="2" xfId="0" applyNumberFormat="1" applyFill="1" applyBorder="1"/>
    <xf numFmtId="166" fontId="0" fillId="0" borderId="2" xfId="0" applyNumberFormat="1" applyFill="1" applyBorder="1"/>
    <xf numFmtId="42" fontId="0" fillId="0" borderId="11" xfId="0" applyNumberFormat="1" applyFill="1" applyBorder="1" applyAlignment="1">
      <alignment horizontal="right"/>
    </xf>
    <xf numFmtId="166" fontId="0" fillId="0" borderId="7" xfId="0" applyNumberFormat="1" applyFill="1" applyBorder="1"/>
    <xf numFmtId="42" fontId="0" fillId="0" borderId="10" xfId="0" applyNumberFormat="1" applyFill="1" applyBorder="1" applyAlignment="1">
      <alignment horizontal="right"/>
    </xf>
    <xf numFmtId="166" fontId="0" fillId="0" borderId="9" xfId="0" applyNumberFormat="1" applyFill="1" applyBorder="1"/>
    <xf numFmtId="166" fontId="0" fillId="0" borderId="5" xfId="0" applyNumberFormat="1" applyFill="1" applyBorder="1"/>
    <xf numFmtId="166" fontId="0" fillId="0" borderId="0" xfId="0" applyNumberFormat="1" applyFill="1" applyBorder="1" applyAlignment="1">
      <alignment horizontal="right"/>
    </xf>
    <xf numFmtId="42" fontId="0" fillId="0" borderId="11" xfId="1" applyNumberFormat="1" applyFont="1" applyFill="1" applyBorder="1" applyAlignment="1">
      <alignment horizontal="right"/>
    </xf>
    <xf numFmtId="42" fontId="0" fillId="0" borderId="10" xfId="1" applyNumberFormat="1" applyFont="1" applyFill="1" applyBorder="1" applyAlignment="1">
      <alignment horizontal="right"/>
    </xf>
    <xf numFmtId="42" fontId="0" fillId="0" borderId="3" xfId="1" applyNumberFormat="1" applyFont="1" applyFill="1" applyBorder="1" applyAlignment="1">
      <alignment horizontal="right"/>
    </xf>
    <xf numFmtId="0" fontId="4" fillId="11" borderId="0" xfId="0" applyFont="1" applyFill="1" applyAlignment="1">
      <alignment horizontal="center"/>
    </xf>
    <xf numFmtId="0" fontId="4" fillId="11" borderId="0" xfId="0" applyFont="1" applyFill="1" applyAlignment="1">
      <alignment horizontal="center" vertical="center"/>
    </xf>
    <xf numFmtId="0" fontId="6" fillId="11" borderId="0" xfId="3" applyFont="1" applyFill="1" applyAlignment="1">
      <alignment horizontal="center"/>
    </xf>
    <xf numFmtId="0" fontId="8" fillId="0" borderId="15" xfId="2" applyFont="1" applyFill="1" applyBorder="1" applyAlignment="1">
      <alignment horizontal="center" vertical="center"/>
    </xf>
    <xf numFmtId="0" fontId="2" fillId="0" borderId="0" xfId="0" applyNumberFormat="1" applyFont="1" applyFill="1" applyBorder="1"/>
    <xf numFmtId="3" fontId="0" fillId="0" borderId="0" xfId="0" applyNumberFormat="1" applyBorder="1" applyAlignment="1">
      <alignment horizontal="center" vertical="center" wrapText="1"/>
    </xf>
    <xf numFmtId="0" fontId="0" fillId="6" borderId="14" xfId="0" applyFill="1" applyBorder="1"/>
    <xf numFmtId="0" fontId="2" fillId="7" borderId="35" xfId="0" applyFont="1" applyFill="1" applyBorder="1"/>
    <xf numFmtId="42" fontId="0" fillId="0" borderId="1" xfId="0" applyNumberFormat="1" applyFont="1" applyBorder="1"/>
    <xf numFmtId="3" fontId="22" fillId="2" borderId="35" xfId="0" applyNumberFormat="1" applyFont="1" applyFill="1" applyBorder="1" applyAlignment="1">
      <alignment horizontal="center"/>
    </xf>
    <xf numFmtId="3" fontId="2" fillId="0" borderId="36" xfId="0" applyNumberFormat="1" applyFon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10" borderId="2" xfId="0" applyFill="1" applyBorder="1" applyAlignment="1">
      <alignment horizontal="center"/>
    </xf>
    <xf numFmtId="0" fontId="2" fillId="0" borderId="2" xfId="0" applyFont="1" applyBorder="1"/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0" fillId="6" borderId="5" xfId="0" applyFill="1" applyBorder="1"/>
    <xf numFmtId="44" fontId="0" fillId="6" borderId="7" xfId="0" applyNumberFormat="1" applyFill="1" applyBorder="1"/>
    <xf numFmtId="169" fontId="0" fillId="0" borderId="5" xfId="0" applyNumberFormat="1" applyFill="1" applyBorder="1"/>
    <xf numFmtId="167" fontId="0" fillId="0" borderId="7" xfId="0" applyNumberFormat="1" applyFill="1" applyBorder="1"/>
    <xf numFmtId="0" fontId="2" fillId="0" borderId="12" xfId="0" applyFont="1" applyBorder="1"/>
    <xf numFmtId="0" fontId="0" fillId="6" borderId="39" xfId="0" applyFill="1" applyBorder="1"/>
    <xf numFmtId="3" fontId="1" fillId="12" borderId="15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44" fontId="0" fillId="0" borderId="2" xfId="0" applyNumberFormat="1" applyBorder="1"/>
    <xf numFmtId="0" fontId="2" fillId="0" borderId="1" xfId="0" applyFont="1" applyFill="1" applyBorder="1"/>
    <xf numFmtId="165" fontId="0" fillId="0" borderId="2" xfId="0" applyNumberFormat="1" applyBorder="1"/>
    <xf numFmtId="9" fontId="2" fillId="0" borderId="0" xfId="4" applyFont="1" applyFill="1" applyBorder="1"/>
    <xf numFmtId="44" fontId="0" fillId="5" borderId="2" xfId="0" applyNumberFormat="1" applyFill="1" applyBorder="1"/>
    <xf numFmtId="0" fontId="0" fillId="0" borderId="0" xfId="0" applyAlignment="1">
      <alignment horizontal="center"/>
    </xf>
    <xf numFmtId="0" fontId="0" fillId="0" borderId="18" xfId="0" applyBorder="1"/>
    <xf numFmtId="0" fontId="0" fillId="0" borderId="40" xfId="0" applyBorder="1"/>
    <xf numFmtId="0" fontId="0" fillId="0" borderId="30" xfId="0" applyBorder="1"/>
    <xf numFmtId="165" fontId="0" fillId="0" borderId="41" xfId="0" applyNumberFormat="1" applyBorder="1"/>
    <xf numFmtId="165" fontId="0" fillId="0" borderId="42" xfId="0" applyNumberFormat="1" applyBorder="1"/>
    <xf numFmtId="169" fontId="0" fillId="0" borderId="0" xfId="0" applyNumberFormat="1"/>
    <xf numFmtId="0" fontId="25" fillId="0" borderId="0" xfId="0" applyFont="1"/>
    <xf numFmtId="0" fontId="14" fillId="0" borderId="18" xfId="0" applyFont="1" applyFill="1" applyBorder="1"/>
    <xf numFmtId="0" fontId="2" fillId="8" borderId="33" xfId="0" applyFont="1" applyFill="1" applyBorder="1"/>
    <xf numFmtId="0" fontId="0" fillId="0" borderId="20" xfId="0" applyBorder="1"/>
    <xf numFmtId="42" fontId="0" fillId="0" borderId="33" xfId="0" applyNumberFormat="1" applyBorder="1"/>
    <xf numFmtId="42" fontId="0" fillId="0" borderId="28" xfId="0" applyNumberFormat="1" applyBorder="1"/>
    <xf numFmtId="0" fontId="0" fillId="0" borderId="6" xfId="0" applyFont="1" applyFill="1" applyBorder="1"/>
    <xf numFmtId="42" fontId="0" fillId="0" borderId="7" xfId="0" applyNumberFormat="1" applyFill="1" applyBorder="1"/>
    <xf numFmtId="0" fontId="0" fillId="0" borderId="22" xfId="0" applyFont="1" applyFill="1" applyBorder="1" applyAlignment="1">
      <alignment horizontal="center" vertical="center"/>
    </xf>
    <xf numFmtId="166" fontId="0" fillId="0" borderId="5" xfId="0" applyNumberFormat="1" applyFont="1" applyFill="1" applyBorder="1"/>
    <xf numFmtId="166" fontId="0" fillId="0" borderId="9" xfId="0" applyNumberFormat="1" applyFont="1" applyFill="1" applyBorder="1"/>
    <xf numFmtId="166" fontId="0" fillId="0" borderId="7" xfId="0" applyNumberFormat="1" applyFont="1" applyFill="1" applyBorder="1"/>
    <xf numFmtId="166" fontId="0" fillId="6" borderId="11" xfId="0" applyNumberFormat="1" applyFill="1" applyBorder="1"/>
    <xf numFmtId="0" fontId="27" fillId="0" borderId="21" xfId="0" applyFont="1" applyBorder="1" applyAlignment="1">
      <alignment horizontal="center" vertical="center"/>
    </xf>
    <xf numFmtId="0" fontId="2" fillId="0" borderId="0" xfId="0" applyFont="1" applyBorder="1" applyAlignment="1">
      <alignment vertical="center" textRotation="255"/>
    </xf>
    <xf numFmtId="0" fontId="0" fillId="0" borderId="0" xfId="0" applyFont="1" applyFill="1" applyBorder="1" applyAlignment="1">
      <alignment horizontal="center"/>
    </xf>
    <xf numFmtId="165" fontId="0" fillId="0" borderId="0" xfId="0" applyNumberFormat="1" applyBorder="1"/>
    <xf numFmtId="165" fontId="0" fillId="0" borderId="15" xfId="0" applyNumberFormat="1" applyBorder="1"/>
    <xf numFmtId="0" fontId="0" fillId="7" borderId="0" xfId="0" applyFill="1" applyBorder="1"/>
    <xf numFmtId="0" fontId="2" fillId="0" borderId="0" xfId="0" applyFont="1" applyBorder="1" applyAlignment="1">
      <alignment vertical="center" textRotation="255" wrapText="1"/>
    </xf>
    <xf numFmtId="0" fontId="2" fillId="0" borderId="0" xfId="0" applyFont="1" applyBorder="1" applyAlignment="1">
      <alignment vertical="center" wrapText="1"/>
    </xf>
    <xf numFmtId="0" fontId="27" fillId="0" borderId="14" xfId="0" applyFont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6" borderId="22" xfId="0" applyFill="1" applyBorder="1"/>
    <xf numFmtId="3" fontId="0" fillId="0" borderId="24" xfId="0" applyNumberForma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3" fontId="1" fillId="0" borderId="0" xfId="0" applyNumberFormat="1" applyFont="1" applyFill="1" applyBorder="1" applyAlignment="1">
      <alignment horizontal="center"/>
    </xf>
    <xf numFmtId="0" fontId="2" fillId="0" borderId="21" xfId="0" applyFont="1" applyFill="1" applyBorder="1"/>
    <xf numFmtId="0" fontId="0" fillId="0" borderId="21" xfId="0" applyBorder="1"/>
    <xf numFmtId="165" fontId="0" fillId="0" borderId="43" xfId="0" applyNumberFormat="1" applyBorder="1"/>
    <xf numFmtId="0" fontId="2" fillId="0" borderId="38" xfId="0" applyFont="1" applyBorder="1" applyAlignment="1">
      <alignment vertical="center"/>
    </xf>
    <xf numFmtId="166" fontId="0" fillId="0" borderId="7" xfId="0" applyNumberFormat="1" applyBorder="1"/>
    <xf numFmtId="166" fontId="0" fillId="0" borderId="5" xfId="0" applyNumberFormat="1" applyBorder="1"/>
    <xf numFmtId="0" fontId="2" fillId="0" borderId="25" xfId="0" applyFont="1" applyFill="1" applyBorder="1"/>
    <xf numFmtId="0" fontId="0" fillId="6" borderId="26" xfId="0" applyFill="1" applyBorder="1"/>
    <xf numFmtId="0" fontId="2" fillId="0" borderId="46" xfId="0" quotePrefix="1" applyFont="1" applyBorder="1"/>
    <xf numFmtId="0" fontId="0" fillId="6" borderId="23" xfId="0" applyFill="1" applyBorder="1"/>
    <xf numFmtId="42" fontId="0" fillId="0" borderId="47" xfId="0" applyNumberFormat="1" applyBorder="1"/>
    <xf numFmtId="0" fontId="2" fillId="2" borderId="21" xfId="0" applyFont="1" applyFill="1" applyBorder="1"/>
    <xf numFmtId="0" fontId="0" fillId="8" borderId="0" xfId="0" applyFill="1"/>
    <xf numFmtId="0" fontId="1" fillId="8" borderId="0" xfId="0" applyFont="1" applyFill="1" applyAlignment="1">
      <alignment horizontal="center"/>
    </xf>
    <xf numFmtId="3" fontId="1" fillId="8" borderId="0" xfId="0" applyNumberFormat="1" applyFont="1" applyFill="1" applyBorder="1" applyAlignment="1">
      <alignment horizontal="center"/>
    </xf>
    <xf numFmtId="166" fontId="0" fillId="10" borderId="7" xfId="0" applyNumberFormat="1" applyFill="1" applyBorder="1"/>
    <xf numFmtId="0" fontId="1" fillId="12" borderId="45" xfId="0" applyFont="1" applyFill="1" applyBorder="1" applyAlignment="1">
      <alignment horizontal="center"/>
    </xf>
    <xf numFmtId="0" fontId="2" fillId="2" borderId="35" xfId="0" applyFont="1" applyFill="1" applyBorder="1" applyAlignment="1">
      <alignment vertical="center"/>
    </xf>
    <xf numFmtId="0" fontId="27" fillId="0" borderId="12" xfId="0" applyFont="1" applyBorder="1" applyAlignment="1">
      <alignment horizontal="center" vertical="center"/>
    </xf>
    <xf numFmtId="0" fontId="2" fillId="0" borderId="15" xfId="0" applyFont="1" applyBorder="1" applyAlignment="1">
      <alignment vertical="center"/>
    </xf>
    <xf numFmtId="0" fontId="28" fillId="8" borderId="0" xfId="0" applyFont="1" applyFill="1" applyAlignment="1">
      <alignment vertical="center"/>
    </xf>
    <xf numFmtId="0" fontId="0" fillId="8" borderId="1" xfId="0" applyFill="1" applyBorder="1"/>
    <xf numFmtId="42" fontId="0" fillId="0" borderId="6" xfId="0" applyNumberFormat="1" applyBorder="1"/>
    <xf numFmtId="0" fontId="0" fillId="8" borderId="0" xfId="0" applyNumberFormat="1" applyFill="1" applyBorder="1" applyAlignment="1">
      <alignment vertical="center"/>
    </xf>
    <xf numFmtId="0" fontId="0" fillId="8" borderId="0" xfId="0" applyNumberFormat="1" applyFill="1" applyBorder="1"/>
    <xf numFmtId="0" fontId="2" fillId="6" borderId="0" xfId="0" applyFont="1" applyFill="1"/>
    <xf numFmtId="0" fontId="2" fillId="6" borderId="38" xfId="0" applyFont="1" applyFill="1" applyBorder="1"/>
    <xf numFmtId="0" fontId="2" fillId="6" borderId="18" xfId="0" applyFont="1" applyFill="1" applyBorder="1"/>
    <xf numFmtId="0" fontId="2" fillId="6" borderId="0" xfId="0" applyFont="1" applyFill="1" applyBorder="1"/>
    <xf numFmtId="0" fontId="2" fillId="6" borderId="19" xfId="0" applyFont="1" applyFill="1" applyBorder="1"/>
    <xf numFmtId="0" fontId="2" fillId="6" borderId="20" xfId="0" applyFont="1" applyFill="1" applyBorder="1"/>
    <xf numFmtId="0" fontId="0" fillId="0" borderId="10" xfId="0" applyFill="1" applyBorder="1"/>
    <xf numFmtId="166" fontId="0" fillId="0" borderId="10" xfId="0" applyNumberFormat="1" applyFill="1" applyBorder="1" applyAlignment="1">
      <alignment horizontal="right"/>
    </xf>
    <xf numFmtId="166" fontId="0" fillId="0" borderId="10" xfId="0" applyNumberFormat="1" applyFill="1" applyBorder="1"/>
    <xf numFmtId="0" fontId="0" fillId="0" borderId="15" xfId="0" applyBorder="1" applyAlignment="1">
      <alignment horizontal="center" vertical="center"/>
    </xf>
    <xf numFmtId="0" fontId="0" fillId="6" borderId="1" xfId="0" applyFill="1" applyBorder="1" applyAlignment="1">
      <alignment horizontal="center"/>
    </xf>
    <xf numFmtId="0" fontId="0" fillId="10" borderId="1" xfId="0" applyFill="1" applyBorder="1" applyAlignment="1">
      <alignment horizontal="center"/>
    </xf>
    <xf numFmtId="166" fontId="17" fillId="0" borderId="10" xfId="0" applyNumberFormat="1" applyFont="1" applyFill="1" applyBorder="1"/>
    <xf numFmtId="0" fontId="22" fillId="2" borderId="12" xfId="0" applyFont="1" applyFill="1" applyBorder="1"/>
    <xf numFmtId="0" fontId="30" fillId="2" borderId="12" xfId="0" applyFont="1" applyFill="1" applyBorder="1"/>
    <xf numFmtId="0" fontId="18" fillId="0" borderId="0" xfId="0" applyFont="1" applyAlignment="1">
      <alignment horizontal="center" vertical="center" wrapText="1"/>
    </xf>
    <xf numFmtId="0" fontId="2" fillId="13" borderId="0" xfId="0" applyFont="1" applyFill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2" fillId="14" borderId="25" xfId="0" applyFont="1" applyFill="1" applyBorder="1" applyAlignment="1">
      <alignment horizontal="center" vertical="center"/>
    </xf>
    <xf numFmtId="0" fontId="32" fillId="14" borderId="26" xfId="0" applyFont="1" applyFill="1" applyBorder="1" applyAlignment="1">
      <alignment horizontal="center" wrapText="1"/>
    </xf>
    <xf numFmtId="0" fontId="0" fillId="14" borderId="26" xfId="0" applyFill="1" applyBorder="1" applyAlignment="1">
      <alignment horizontal="center" vertical="center"/>
    </xf>
    <xf numFmtId="0" fontId="32" fillId="14" borderId="50" xfId="0" applyFont="1" applyFill="1" applyBorder="1" applyAlignment="1">
      <alignment horizontal="center"/>
    </xf>
    <xf numFmtId="0" fontId="0" fillId="14" borderId="50" xfId="0" applyFont="1" applyFill="1" applyBorder="1" applyAlignment="1">
      <alignment horizontal="center" vertical="center"/>
    </xf>
    <xf numFmtId="0" fontId="0" fillId="14" borderId="51" xfId="0" applyFont="1" applyFill="1" applyBorder="1" applyAlignment="1">
      <alignment horizontal="center" vertical="center"/>
    </xf>
    <xf numFmtId="0" fontId="0" fillId="0" borderId="0" xfId="0" applyAlignment="1">
      <alignment horizontal="center" wrapText="1"/>
    </xf>
    <xf numFmtId="0" fontId="2" fillId="14" borderId="18" xfId="0" applyFont="1" applyFill="1" applyBorder="1" applyAlignment="1">
      <alignment horizontal="center" vertical="center"/>
    </xf>
    <xf numFmtId="0" fontId="32" fillId="14" borderId="19" xfId="0" applyFont="1" applyFill="1" applyBorder="1" applyAlignment="1">
      <alignment horizontal="center" wrapText="1"/>
    </xf>
    <xf numFmtId="0" fontId="0" fillId="14" borderId="19" xfId="0" applyFill="1" applyBorder="1" applyAlignment="1">
      <alignment horizontal="center" vertical="center"/>
    </xf>
    <xf numFmtId="0" fontId="32" fillId="14" borderId="52" xfId="0" applyFont="1" applyFill="1" applyBorder="1" applyAlignment="1">
      <alignment horizontal="center"/>
    </xf>
    <xf numFmtId="0" fontId="0" fillId="14" borderId="52" xfId="0" applyFont="1" applyFill="1" applyBorder="1" applyAlignment="1">
      <alignment horizontal="center" vertical="center"/>
    </xf>
    <xf numFmtId="0" fontId="0" fillId="14" borderId="53" xfId="0" applyFont="1" applyFill="1" applyBorder="1" applyAlignment="1">
      <alignment horizontal="center" vertical="center"/>
    </xf>
    <xf numFmtId="0" fontId="2" fillId="14" borderId="38" xfId="0" applyFont="1" applyFill="1" applyBorder="1" applyAlignment="1">
      <alignment horizontal="center" vertical="center"/>
    </xf>
    <xf numFmtId="0" fontId="32" fillId="14" borderId="0" xfId="0" applyFont="1" applyFill="1" applyBorder="1" applyAlignment="1">
      <alignment horizontal="center" wrapText="1"/>
    </xf>
    <xf numFmtId="0" fontId="0" fillId="14" borderId="0" xfId="0" applyFill="1" applyBorder="1" applyAlignment="1">
      <alignment horizontal="center" vertical="center"/>
    </xf>
    <xf numFmtId="0" fontId="32" fillId="14" borderId="54" xfId="0" applyFont="1" applyFill="1" applyBorder="1" applyAlignment="1">
      <alignment horizontal="center"/>
    </xf>
    <xf numFmtId="0" fontId="0" fillId="14" borderId="54" xfId="0" applyFont="1" applyFill="1" applyBorder="1" applyAlignment="1">
      <alignment horizontal="center" vertical="center"/>
    </xf>
    <xf numFmtId="0" fontId="0" fillId="14" borderId="55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0" fillId="0" borderId="0" xfId="0" applyFont="1" applyAlignment="1">
      <alignment horizontal="center" wrapText="1"/>
    </xf>
    <xf numFmtId="0" fontId="0" fillId="0" borderId="0" xfId="0" applyFont="1" applyAlignment="1">
      <alignment horizontal="center" vertical="center"/>
    </xf>
    <xf numFmtId="0" fontId="33" fillId="7" borderId="0" xfId="0" applyFont="1" applyFill="1" applyAlignment="1">
      <alignment horizontal="center"/>
    </xf>
    <xf numFmtId="0" fontId="34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0" fontId="36" fillId="0" borderId="0" xfId="0" applyFont="1" applyAlignment="1">
      <alignment horizontal="center" vertical="center"/>
    </xf>
    <xf numFmtId="0" fontId="32" fillId="0" borderId="0" xfId="0" applyFont="1" applyAlignment="1">
      <alignment horizontal="center" wrapText="1"/>
    </xf>
    <xf numFmtId="0" fontId="34" fillId="7" borderId="0" xfId="0" applyFont="1" applyFill="1" applyAlignment="1">
      <alignment horizontal="center"/>
    </xf>
    <xf numFmtId="0" fontId="0" fillId="0" borderId="0" xfId="0" applyAlignment="1">
      <alignment horizontal="center" vertical="center"/>
    </xf>
    <xf numFmtId="0" fontId="31" fillId="7" borderId="0" xfId="0" applyFont="1" applyFill="1" applyAlignment="1">
      <alignment horizontal="center" vertical="center"/>
    </xf>
    <xf numFmtId="0" fontId="0" fillId="0" borderId="0" xfId="0" applyAlignment="1">
      <alignment vertical="center" wrapText="1"/>
    </xf>
    <xf numFmtId="0" fontId="0" fillId="7" borderId="0" xfId="0" applyFill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0" fillId="7" borderId="0" xfId="0" applyFont="1" applyFill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0" fontId="31" fillId="0" borderId="0" xfId="0" applyFont="1" applyFill="1" applyAlignment="1">
      <alignment horizontal="center" vertical="center"/>
    </xf>
    <xf numFmtId="0" fontId="32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2" fillId="16" borderId="0" xfId="0" applyFont="1" applyFill="1" applyAlignment="1">
      <alignment horizontal="center" vertical="center"/>
    </xf>
    <xf numFmtId="0" fontId="32" fillId="0" borderId="0" xfId="0" applyFont="1" applyAlignment="1">
      <alignment horizontal="center" vertical="center" wrapText="1"/>
    </xf>
    <xf numFmtId="0" fontId="0" fillId="2" borderId="0" xfId="0" applyFill="1"/>
    <xf numFmtId="0" fontId="2" fillId="17" borderId="0" xfId="0" applyFont="1" applyFill="1" applyAlignment="1">
      <alignment horizontal="center" vertical="center"/>
    </xf>
    <xf numFmtId="0" fontId="32" fillId="2" borderId="0" xfId="0" applyFont="1" applyFill="1" applyAlignment="1">
      <alignment vertical="center"/>
    </xf>
    <xf numFmtId="0" fontId="17" fillId="0" borderId="0" xfId="0" applyFont="1" applyAlignment="1">
      <alignment vertical="center"/>
    </xf>
    <xf numFmtId="170" fontId="2" fillId="0" borderId="0" xfId="1" applyNumberFormat="1" applyFont="1"/>
    <xf numFmtId="170" fontId="2" fillId="0" borderId="0" xfId="0" applyNumberFormat="1" applyFont="1"/>
    <xf numFmtId="0" fontId="2" fillId="0" borderId="0" xfId="0" applyFont="1" applyAlignment="1">
      <alignment vertical="center"/>
    </xf>
    <xf numFmtId="42" fontId="17" fillId="0" borderId="9" xfId="0" applyNumberFormat="1" applyFont="1" applyFill="1" applyBorder="1" applyAlignment="1"/>
    <xf numFmtId="0" fontId="17" fillId="0" borderId="8" xfId="0" applyFont="1" applyFill="1" applyBorder="1"/>
    <xf numFmtId="170" fontId="17" fillId="0" borderId="10" xfId="1" applyNumberFormat="1" applyFont="1" applyFill="1" applyBorder="1"/>
    <xf numFmtId="166" fontId="17" fillId="0" borderId="9" xfId="0" applyNumberFormat="1" applyFont="1" applyBorder="1" applyAlignment="1">
      <alignment horizontal="center" vertical="center"/>
    </xf>
    <xf numFmtId="0" fontId="17" fillId="0" borderId="4" xfId="0" applyFont="1" applyFill="1" applyBorder="1"/>
    <xf numFmtId="170" fontId="17" fillId="0" borderId="0" xfId="1" applyNumberFormat="1" applyFont="1" applyFill="1" applyBorder="1"/>
    <xf numFmtId="166" fontId="17" fillId="0" borderId="5" xfId="0" applyNumberFormat="1" applyFont="1" applyBorder="1" applyAlignment="1">
      <alignment horizontal="center" vertical="center"/>
    </xf>
    <xf numFmtId="170" fontId="17" fillId="0" borderId="0" xfId="1" applyNumberFormat="1" applyFont="1" applyBorder="1"/>
    <xf numFmtId="0" fontId="17" fillId="0" borderId="6" xfId="0" applyFont="1" applyFill="1" applyBorder="1"/>
    <xf numFmtId="166" fontId="17" fillId="0" borderId="7" xfId="0" applyNumberFormat="1" applyFont="1" applyBorder="1" applyAlignment="1">
      <alignment horizontal="center" vertical="center"/>
    </xf>
    <xf numFmtId="170" fontId="18" fillId="5" borderId="2" xfId="1" applyNumberFormat="1" applyFont="1" applyFill="1" applyBorder="1"/>
    <xf numFmtId="170" fontId="17" fillId="0" borderId="7" xfId="1" applyNumberFormat="1" applyFont="1" applyBorder="1"/>
    <xf numFmtId="42" fontId="17" fillId="0" borderId="10" xfId="0" applyNumberFormat="1" applyFont="1" applyFill="1" applyBorder="1" applyAlignment="1">
      <alignment horizontal="right"/>
    </xf>
    <xf numFmtId="166" fontId="17" fillId="0" borderId="5" xfId="0" applyNumberFormat="1" applyFont="1" applyBorder="1"/>
    <xf numFmtId="3" fontId="17" fillId="0" borderId="15" xfId="0" applyNumberFormat="1" applyFont="1" applyBorder="1" applyAlignment="1">
      <alignment horizontal="center"/>
    </xf>
    <xf numFmtId="0" fontId="17" fillId="0" borderId="15" xfId="0" applyFont="1" applyBorder="1" applyAlignment="1">
      <alignment horizontal="center"/>
    </xf>
    <xf numFmtId="0" fontId="2" fillId="5" borderId="0" xfId="0" applyFont="1" applyFill="1" applyBorder="1"/>
    <xf numFmtId="9" fontId="0" fillId="5" borderId="0" xfId="4" applyFont="1" applyFill="1" applyBorder="1"/>
    <xf numFmtId="166" fontId="17" fillId="0" borderId="9" xfId="0" applyNumberFormat="1" applyFont="1" applyBorder="1"/>
    <xf numFmtId="167" fontId="17" fillId="0" borderId="5" xfId="0" applyNumberFormat="1" applyFont="1" applyBorder="1"/>
    <xf numFmtId="42" fontId="17" fillId="0" borderId="7" xfId="1" applyNumberFormat="1" applyFont="1" applyFill="1" applyBorder="1" applyAlignment="1"/>
    <xf numFmtId="42" fontId="17" fillId="0" borderId="0" xfId="1" applyNumberFormat="1" applyFont="1" applyFill="1" applyBorder="1" applyAlignment="1">
      <alignment horizontal="right"/>
    </xf>
    <xf numFmtId="166" fontId="17" fillId="0" borderId="5" xfId="0" applyNumberFormat="1" applyFont="1" applyFill="1" applyBorder="1"/>
    <xf numFmtId="42" fontId="17" fillId="0" borderId="5" xfId="0" applyNumberFormat="1" applyFont="1" applyBorder="1"/>
    <xf numFmtId="0" fontId="2" fillId="18" borderId="0" xfId="0" applyFont="1" applyFill="1" applyAlignment="1">
      <alignment horizontal="center" vertical="center"/>
    </xf>
    <xf numFmtId="0" fontId="2" fillId="19" borderId="0" xfId="0" applyFont="1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15" borderId="0" xfId="0" applyFont="1" applyFill="1" applyAlignment="1">
      <alignment horizontal="center" vertical="center"/>
    </xf>
    <xf numFmtId="0" fontId="2" fillId="12" borderId="12" xfId="0" applyFont="1" applyFill="1" applyBorder="1" applyAlignment="1">
      <alignment horizontal="center"/>
    </xf>
    <xf numFmtId="0" fontId="2" fillId="12" borderId="13" xfId="0" applyFont="1" applyFill="1" applyBorder="1" applyAlignment="1">
      <alignment horizontal="center"/>
    </xf>
    <xf numFmtId="0" fontId="2" fillId="12" borderId="14" xfId="0" applyFont="1" applyFill="1" applyBorder="1" applyAlignment="1">
      <alignment horizontal="center"/>
    </xf>
    <xf numFmtId="0" fontId="2" fillId="16" borderId="0" xfId="0" applyFont="1" applyFill="1" applyAlignment="1">
      <alignment horizontal="center" vertical="center"/>
    </xf>
    <xf numFmtId="0" fontId="2" fillId="17" borderId="0" xfId="0" applyFont="1" applyFill="1" applyAlignment="1">
      <alignment horizontal="center" vertical="center"/>
    </xf>
    <xf numFmtId="0" fontId="2" fillId="9" borderId="0" xfId="0" applyFont="1" applyFill="1" applyAlignment="1">
      <alignment horizontal="center" vertical="center"/>
    </xf>
    <xf numFmtId="0" fontId="2" fillId="6" borderId="12" xfId="0" applyFont="1" applyFill="1" applyBorder="1" applyAlignment="1">
      <alignment horizontal="center"/>
    </xf>
    <xf numFmtId="0" fontId="2" fillId="6" borderId="13" xfId="0" applyFont="1" applyFill="1" applyBorder="1" applyAlignment="1">
      <alignment horizontal="center"/>
    </xf>
    <xf numFmtId="0" fontId="2" fillId="6" borderId="14" xfId="0" applyFont="1" applyFill="1" applyBorder="1" applyAlignment="1">
      <alignment horizontal="center"/>
    </xf>
    <xf numFmtId="0" fontId="2" fillId="13" borderId="0" xfId="0" applyFont="1" applyFill="1" applyAlignment="1">
      <alignment horizontal="center" vertical="center"/>
    </xf>
    <xf numFmtId="0" fontId="2" fillId="7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9" fillId="8" borderId="26" xfId="0" applyFont="1" applyFill="1" applyBorder="1" applyAlignment="1">
      <alignment horizontal="center" vertical="center"/>
    </xf>
    <xf numFmtId="0" fontId="29" fillId="8" borderId="0" xfId="0" applyFont="1" applyFill="1" applyBorder="1" applyAlignment="1">
      <alignment horizontal="center" vertical="center"/>
    </xf>
    <xf numFmtId="0" fontId="1" fillId="8" borderId="26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28" fillId="8" borderId="0" xfId="0" applyFont="1" applyFill="1" applyAlignment="1">
      <alignment horizontal="center" vertical="center"/>
    </xf>
    <xf numFmtId="0" fontId="29" fillId="8" borderId="0" xfId="0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23" fillId="0" borderId="35" xfId="0" applyFont="1" applyBorder="1" applyAlignment="1">
      <alignment horizontal="center" vertical="center" textRotation="255"/>
    </xf>
    <xf numFmtId="0" fontId="23" fillId="0" borderId="37" xfId="0" applyFont="1" applyBorder="1" applyAlignment="1">
      <alignment horizontal="center" vertical="center" textRotation="255"/>
    </xf>
    <xf numFmtId="0" fontId="23" fillId="0" borderId="33" xfId="0" applyFont="1" applyBorder="1" applyAlignment="1">
      <alignment horizontal="center" vertical="center" textRotation="255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0" fillId="7" borderId="15" xfId="0" applyFill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27" fillId="0" borderId="28" xfId="0" applyFont="1" applyBorder="1" applyAlignment="1">
      <alignment horizontal="center" vertical="center"/>
    </xf>
    <xf numFmtId="0" fontId="27" fillId="0" borderId="20" xfId="0" applyFont="1" applyBorder="1" applyAlignment="1">
      <alignment horizontal="center" vertical="center"/>
    </xf>
    <xf numFmtId="0" fontId="24" fillId="0" borderId="25" xfId="0" applyFont="1" applyBorder="1" applyAlignment="1">
      <alignment horizontal="center" vertical="center" wrapText="1"/>
    </xf>
    <xf numFmtId="0" fontId="24" fillId="0" borderId="27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4" fillId="0" borderId="28" xfId="0" applyFont="1" applyBorder="1" applyAlignment="1">
      <alignment horizontal="center" vertical="center" wrapText="1"/>
    </xf>
    <xf numFmtId="0" fontId="24" fillId="0" borderId="18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 wrapText="1"/>
    </xf>
    <xf numFmtId="0" fontId="26" fillId="0" borderId="25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38" xfId="0" applyFont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26" fillId="0" borderId="18" xfId="0" applyFont="1" applyBorder="1" applyAlignment="1">
      <alignment horizontal="center" vertical="center"/>
    </xf>
    <xf numFmtId="0" fontId="26" fillId="0" borderId="20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 textRotation="255"/>
    </xf>
    <xf numFmtId="0" fontId="2" fillId="0" borderId="37" xfId="0" applyFont="1" applyBorder="1" applyAlignment="1">
      <alignment horizontal="center" vertical="center" textRotation="255"/>
    </xf>
    <xf numFmtId="0" fontId="2" fillId="0" borderId="33" xfId="0" applyFont="1" applyBorder="1" applyAlignment="1">
      <alignment horizontal="center" vertical="center" textRotation="255"/>
    </xf>
    <xf numFmtId="0" fontId="2" fillId="0" borderId="35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2" fillId="7" borderId="12" xfId="0" applyFont="1" applyFill="1" applyBorder="1" applyAlignment="1">
      <alignment horizontal="left"/>
    </xf>
    <xf numFmtId="0" fontId="2" fillId="7" borderId="13" xfId="0" applyFont="1" applyFill="1" applyBorder="1" applyAlignment="1">
      <alignment horizontal="left"/>
    </xf>
    <xf numFmtId="0" fontId="2" fillId="9" borderId="8" xfId="0" applyFont="1" applyFill="1" applyBorder="1" applyAlignment="1">
      <alignment horizontal="center"/>
    </xf>
    <xf numFmtId="0" fontId="2" fillId="9" borderId="9" xfId="0" applyFont="1" applyFill="1" applyBorder="1" applyAlignment="1">
      <alignment horizontal="center"/>
    </xf>
    <xf numFmtId="0" fontId="2" fillId="9" borderId="1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0" borderId="27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27" fillId="0" borderId="35" xfId="0" applyFont="1" applyBorder="1" applyAlignment="1">
      <alignment horizontal="center" vertical="center"/>
    </xf>
    <xf numFmtId="0" fontId="27" fillId="0" borderId="33" xfId="0" applyFont="1" applyBorder="1" applyAlignment="1">
      <alignment horizontal="center" vertical="center"/>
    </xf>
    <xf numFmtId="3" fontId="1" fillId="12" borderId="48" xfId="0" applyNumberFormat="1" applyFont="1" applyFill="1" applyBorder="1" applyAlignment="1">
      <alignment horizontal="center" vertical="center"/>
    </xf>
    <xf numFmtId="3" fontId="1" fillId="12" borderId="49" xfId="0" applyNumberFormat="1" applyFont="1" applyFill="1" applyBorder="1" applyAlignment="1">
      <alignment horizontal="center" vertical="center"/>
    </xf>
    <xf numFmtId="3" fontId="1" fillId="12" borderId="46" xfId="0" applyNumberFormat="1" applyFont="1" applyFill="1" applyBorder="1" applyAlignment="1">
      <alignment horizontal="center" vertical="center"/>
    </xf>
    <xf numFmtId="3" fontId="0" fillId="0" borderId="29" xfId="0" applyNumberFormat="1" applyBorder="1" applyAlignment="1">
      <alignment horizontal="center" vertical="center" wrapText="1"/>
    </xf>
    <xf numFmtId="3" fontId="0" fillId="0" borderId="24" xfId="0" applyNumberFormat="1" applyBorder="1" applyAlignment="1">
      <alignment horizontal="center" vertical="center" wrapText="1"/>
    </xf>
    <xf numFmtId="3" fontId="0" fillId="0" borderId="44" xfId="0" applyNumberForma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textRotation="255"/>
    </xf>
    <xf numFmtId="0" fontId="2" fillId="0" borderId="28" xfId="0" applyFont="1" applyBorder="1" applyAlignment="1">
      <alignment horizontal="center" vertical="center" textRotation="255"/>
    </xf>
    <xf numFmtId="0" fontId="2" fillId="0" borderId="20" xfId="0" applyFont="1" applyBorder="1" applyAlignment="1">
      <alignment horizontal="center" vertical="center" textRotation="255"/>
    </xf>
    <xf numFmtId="3" fontId="0" fillId="0" borderId="23" xfId="0" applyNumberFormat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/>
    </xf>
    <xf numFmtId="0" fontId="6" fillId="0" borderId="1" xfId="2" applyFont="1" applyFill="1" applyBorder="1" applyAlignment="1">
      <alignment horizontal="center" vertical="top" wrapText="1"/>
    </xf>
    <xf numFmtId="0" fontId="6" fillId="0" borderId="3" xfId="2" applyFont="1" applyFill="1" applyBorder="1" applyAlignment="1">
      <alignment horizontal="center" vertical="top"/>
    </xf>
    <xf numFmtId="0" fontId="6" fillId="0" borderId="2" xfId="2" applyFont="1" applyFill="1" applyBorder="1" applyAlignment="1">
      <alignment horizontal="center" vertical="top"/>
    </xf>
    <xf numFmtId="0" fontId="4" fillId="0" borderId="1" xfId="0" applyFont="1" applyFill="1" applyBorder="1" applyAlignment="1">
      <alignment horizontal="center" vertical="top" wrapText="1"/>
    </xf>
    <xf numFmtId="0" fontId="4" fillId="0" borderId="3" xfId="0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top" wrapText="1"/>
    </xf>
    <xf numFmtId="0" fontId="6" fillId="0" borderId="1" xfId="2" applyFont="1" applyFill="1" applyBorder="1" applyAlignment="1">
      <alignment horizontal="center" vertical="top"/>
    </xf>
    <xf numFmtId="0" fontId="4" fillId="0" borderId="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170" fontId="17" fillId="0" borderId="11" xfId="1" applyNumberFormat="1" applyFont="1" applyFill="1" applyBorder="1"/>
  </cellXfs>
  <cellStyles count="7">
    <cellStyle name="Collegamento ipertestuale" xfId="5" builtinId="8" hidden="1"/>
    <cellStyle name="Collegamento ipertestuale visitato" xfId="6" builtinId="9" hidden="1"/>
    <cellStyle name="Migliaia" xfId="1" builtinId="3"/>
    <cellStyle name="Normale" xfId="0" builtinId="0"/>
    <cellStyle name="Normale 3 2" xfId="2"/>
    <cellStyle name="Normale 4" xfId="3"/>
    <cellStyle name="Percentuale" xfId="4" builtinId="5"/>
  </cellStyles>
  <dxfs count="175"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fill>
        <patternFill patternType="solid">
          <fgColor indexed="64"/>
          <bgColor theme="5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medium">
          <color indexed="64"/>
        </bottom>
        <vertical/>
        <horizontal/>
      </border>
    </dxf>
    <dxf>
      <fill>
        <patternFill patternType="solid">
          <fgColor indexed="64"/>
          <bgColor theme="5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medium">
          <color indexed="64"/>
        </bottom>
        <vertical/>
        <horizontal/>
      </border>
    </dxf>
    <dxf>
      <font>
        <color auto="1"/>
      </font>
      <fill>
        <patternFill patternType="solid">
          <fgColor indexed="64"/>
          <bgColor theme="5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theme="4"/>
        </right>
        <top style="thin">
          <color theme="4"/>
        </top>
        <bottom style="medium">
          <color indexed="64"/>
        </bottom>
      </border>
    </dxf>
    <dxf>
      <fill>
        <patternFill patternType="solid">
          <fgColor indexed="64"/>
          <bgColor theme="5" tint="0.5999938962981048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5" tint="0.59999389629810485"/>
        </patternFill>
      </fill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5" tint="0.59999389629810485"/>
        </patternFill>
      </fill>
      <alignment horizontal="center" vertical="center" textRotation="0" wrapText="0" indent="0" justifyLastLine="0" shrinkToFit="0" readingOrder="0"/>
    </dxf>
    <dxf>
      <alignment horizontal="center" textRotation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center" textRotation="0" wrapText="1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center" textRotation="0" wrapText="1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center" textRotation="0" wrapText="1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center" textRotation="0" wrapText="1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center" textRotation="0" wrapText="1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center" textRotation="0" wrapText="1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center" textRotation="0" wrapText="1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center" textRotation="0" wrapText="1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center" textRotation="0" wrapText="1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b val="0"/>
      </font>
      <alignment horizontal="center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center" textRotation="0" wrapText="1" indent="0" justifyLastLine="0" shrinkToFit="0" readingOrder="0"/>
    </dxf>
    <dxf>
      <alignment vertical="center" textRotation="0" wrapText="0" indent="0" justifyLastLine="0" shrinkToFit="0" readingOrder="0"/>
    </dxf>
    <dxf>
      <alignment vertical="center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center" vertical="bottom" textRotation="0" wrapText="0" 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Autofinanziamento!$D$128:$X$128</c:f>
              <c:numCache>
                <c:formatCode>General</c:formatCod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</c:numCache>
            </c:numRef>
          </c:xVal>
          <c:yVal>
            <c:numRef>
              <c:f>Autofinanziamento!$D$143:$X$143</c:f>
              <c:numCache>
                <c:formatCode>_("€"* #,##0_);_("€"* \(#,##0\);_("€"* "-"_);_(@_)</c:formatCode>
                <c:ptCount val="21"/>
                <c:pt idx="0">
                  <c:v>-77197.5</c:v>
                </c:pt>
                <c:pt idx="1">
                  <c:v>-68677.995434951459</c:v>
                </c:pt>
                <c:pt idx="2">
                  <c:v>-60406.631779564523</c:v>
                </c:pt>
                <c:pt idx="3">
                  <c:v>-52376.181628703423</c:v>
                </c:pt>
                <c:pt idx="4">
                  <c:v>-44579.628084178083</c:v>
                </c:pt>
                <c:pt idx="5">
                  <c:v>-37010.158623473864</c:v>
                </c:pt>
                <c:pt idx="6">
                  <c:v>-29661.159147062004</c:v>
                </c:pt>
                <c:pt idx="7">
                  <c:v>-22526.208199089324</c:v>
                </c:pt>
                <c:pt idx="8">
                  <c:v>-15599.071356397402</c:v>
                </c:pt>
                <c:pt idx="9">
                  <c:v>-8873.6957809683518</c:v>
                </c:pt>
                <c:pt idx="10">
                  <c:v>-2344.2049310372349</c:v>
                </c:pt>
                <c:pt idx="11">
                  <c:v>3995.1065737502568</c:v>
                </c:pt>
                <c:pt idx="12">
                  <c:v>10149.777937621609</c:v>
                </c:pt>
                <c:pt idx="13">
                  <c:v>16125.187028758846</c:v>
                </c:pt>
                <c:pt idx="14">
                  <c:v>21926.555078406647</c:v>
                </c:pt>
                <c:pt idx="15">
                  <c:v>27558.95124311325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081-4944-83C2-3755F1123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66192"/>
        <c:axId val="17567136"/>
      </c:scatterChart>
      <c:valAx>
        <c:axId val="175661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7567136"/>
        <c:crosses val="autoZero"/>
        <c:crossBetween val="midCat"/>
      </c:valAx>
      <c:valAx>
        <c:axId val="17567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€&quot;* #,##0_);_(&quot;€&quot;* \(#,##0\);_(&quot;€&quot;* &quot;-&quot;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75661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5765394</xdr:colOff>
      <xdr:row>147</xdr:row>
      <xdr:rowOff>152399</xdr:rowOff>
    </xdr:from>
    <xdr:to>
      <xdr:col>8</xdr:col>
      <xdr:colOff>912785</xdr:colOff>
      <xdr:row>165</xdr:row>
      <xdr:rowOff>148812</xdr:rowOff>
    </xdr:to>
    <xdr:graphicFrame macro="">
      <xdr:nvGraphicFramePr>
        <xdr:cNvPr id="3" name="Gra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448829</xdr:colOff>
      <xdr:row>70</xdr:row>
      <xdr:rowOff>315324</xdr:rowOff>
    </xdr:from>
    <xdr:ext cx="4394407" cy="3106564"/>
    <xdr:pic>
      <xdr:nvPicPr>
        <xdr:cNvPr id="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44743" t="11728" r="10884" b="15678"/>
        <a:stretch>
          <a:fillRect/>
        </a:stretch>
      </xdr:blipFill>
      <xdr:spPr bwMode="auto">
        <a:xfrm>
          <a:off x="17735343" y="28639953"/>
          <a:ext cx="4394407" cy="310656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436046</xdr:colOff>
      <xdr:row>30</xdr:row>
      <xdr:rowOff>31269</xdr:rowOff>
    </xdr:from>
    <xdr:ext cx="3445045" cy="2318970"/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7888" t="12449" r="20000" b="2665"/>
        <a:stretch>
          <a:fillRect/>
        </a:stretch>
      </xdr:blipFill>
      <xdr:spPr bwMode="auto">
        <a:xfrm>
          <a:off x="17722560" y="12397440"/>
          <a:ext cx="3445045" cy="2318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11</xdr:col>
      <xdr:colOff>987136</xdr:colOff>
      <xdr:row>44</xdr:row>
      <xdr:rowOff>11958</xdr:rowOff>
    </xdr:from>
    <xdr:ext cx="8410059" cy="2558726"/>
    <xdr:pic>
      <xdr:nvPicPr>
        <xdr:cNvPr id="4" name="Immagine 3"/>
        <xdr:cNvPicPr/>
      </xdr:nvPicPr>
      <xdr:blipFill>
        <a:blip xmlns:r="http://schemas.openxmlformats.org/officeDocument/2006/relationships" r:embed="rId3" cstate="print"/>
        <a:srcRect t="23641" b="19622"/>
        <a:stretch>
          <a:fillRect/>
        </a:stretch>
      </xdr:blipFill>
      <xdr:spPr bwMode="auto">
        <a:xfrm>
          <a:off x="7311736" y="8058678"/>
          <a:ext cx="8410059" cy="25587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319940</xdr:colOff>
      <xdr:row>84</xdr:row>
      <xdr:rowOff>311452</xdr:rowOff>
    </xdr:from>
    <xdr:ext cx="8462648" cy="1969528"/>
    <xdr:pic>
      <xdr:nvPicPr>
        <xdr:cNvPr id="5" name="Immagine 4"/>
        <xdr:cNvPicPr/>
      </xdr:nvPicPr>
      <xdr:blipFill>
        <a:blip xmlns:r="http://schemas.openxmlformats.org/officeDocument/2006/relationships" r:embed="rId4" cstate="print"/>
        <a:srcRect t="19622" b="16076"/>
        <a:stretch>
          <a:fillRect/>
        </a:stretch>
      </xdr:blipFill>
      <xdr:spPr bwMode="auto">
        <a:xfrm>
          <a:off x="7025540" y="15543832"/>
          <a:ext cx="8462648" cy="19695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103910</xdr:colOff>
      <xdr:row>96</xdr:row>
      <xdr:rowOff>129061</xdr:rowOff>
    </xdr:from>
    <xdr:ext cx="6483804" cy="3061348"/>
    <xdr:pic>
      <xdr:nvPicPr>
        <xdr:cNvPr id="6" name="Immagine 5"/>
        <xdr:cNvPicPr/>
      </xdr:nvPicPr>
      <xdr:blipFill>
        <a:blip xmlns:r="http://schemas.openxmlformats.org/officeDocument/2006/relationships" r:embed="rId5" cstate="print"/>
        <a:srcRect l="22817" t="14657" r="22999" b="10116"/>
        <a:stretch>
          <a:fillRect/>
        </a:stretch>
      </xdr:blipFill>
      <xdr:spPr bwMode="auto">
        <a:xfrm>
          <a:off x="7419110" y="17685541"/>
          <a:ext cx="6483804" cy="3061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219846</xdr:colOff>
      <xdr:row>111</xdr:row>
      <xdr:rowOff>233315</xdr:rowOff>
    </xdr:from>
    <xdr:ext cx="7967031" cy="2196092"/>
    <xdr:pic>
      <xdr:nvPicPr>
        <xdr:cNvPr id="7" name="Immagine 6"/>
        <xdr:cNvPicPr/>
      </xdr:nvPicPr>
      <xdr:blipFill>
        <a:blip xmlns:r="http://schemas.openxmlformats.org/officeDocument/2006/relationships" r:embed="rId6" cstate="print"/>
        <a:srcRect l="19699" t="20095" r="20045" b="14421"/>
        <a:stretch>
          <a:fillRect/>
        </a:stretch>
      </xdr:blipFill>
      <xdr:spPr bwMode="auto">
        <a:xfrm>
          <a:off x="6925446" y="20479655"/>
          <a:ext cx="7967031" cy="2196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550351</xdr:colOff>
      <xdr:row>127</xdr:row>
      <xdr:rowOff>26940</xdr:rowOff>
    </xdr:from>
    <xdr:ext cx="3674998" cy="3490866"/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l="31378" t="10974" r="25167" b="3708"/>
        <a:stretch>
          <a:fillRect/>
        </a:stretch>
      </xdr:blipFill>
      <xdr:spPr bwMode="auto">
        <a:xfrm>
          <a:off x="7255951" y="23252700"/>
          <a:ext cx="3674998" cy="349086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10</xdr:col>
      <xdr:colOff>765848</xdr:colOff>
      <xdr:row>16</xdr:row>
      <xdr:rowOff>94536</xdr:rowOff>
    </xdr:from>
    <xdr:ext cx="8473924" cy="247191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21904" t="36931" r="21635" b="33559"/>
        <a:stretch>
          <a:fillRect/>
        </a:stretch>
      </xdr:blipFill>
      <xdr:spPr bwMode="auto">
        <a:xfrm>
          <a:off x="6701828" y="3020616"/>
          <a:ext cx="8473924" cy="247191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10</xdr:col>
      <xdr:colOff>787014</xdr:colOff>
      <xdr:row>3</xdr:row>
      <xdr:rowOff>158037</xdr:rowOff>
    </xdr:from>
    <xdr:ext cx="8480578" cy="2449539"/>
    <xdr:pic>
      <xdr:nvPicPr>
        <xdr:cNvPr id="1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21904" t="36931" r="21635" b="33559"/>
        <a:stretch>
          <a:fillRect/>
        </a:stretch>
      </xdr:blipFill>
      <xdr:spPr bwMode="auto">
        <a:xfrm>
          <a:off x="6707754" y="706677"/>
          <a:ext cx="8480578" cy="244953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111125</xdr:colOff>
      <xdr:row>57</xdr:row>
      <xdr:rowOff>185208</xdr:rowOff>
    </xdr:from>
    <xdr:ext cx="8424575" cy="2352937"/>
    <xdr:pic>
      <xdr:nvPicPr>
        <xdr:cNvPr id="11" name="Immagine 10"/>
        <xdr:cNvPicPr/>
      </xdr:nvPicPr>
      <xdr:blipFill>
        <a:blip xmlns:r="http://schemas.openxmlformats.org/officeDocument/2006/relationships" r:embed="rId3" cstate="print"/>
        <a:srcRect t="23641" b="19622"/>
        <a:stretch>
          <a:fillRect/>
        </a:stretch>
      </xdr:blipFill>
      <xdr:spPr bwMode="auto">
        <a:xfrm>
          <a:off x="6816725" y="10609368"/>
          <a:ext cx="8424575" cy="23529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llegamentoEsternoRipristinato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tivita"/>
      <sheetName val="Calcoli"/>
    </sheetNames>
    <sheetDataSet>
      <sheetData sheetId="0">
        <row r="6">
          <cell r="C6">
            <v>38964</v>
          </cell>
        </row>
        <row r="7">
          <cell r="C7">
            <v>39202</v>
          </cell>
          <cell r="H7" t="e">
            <v>#REF!</v>
          </cell>
        </row>
      </sheetData>
      <sheetData sheetId="1">
        <row r="21">
          <cell r="IE21" t="str">
            <v>ERRORE!:   più di 10 attività seguenti</v>
          </cell>
          <cell r="IF21" t="str">
            <v>ATTENZIONE!:</v>
          </cell>
          <cell r="IG21" t="str">
            <v>Data anteriore all'inizio del progetto</v>
          </cell>
        </row>
      </sheetData>
    </sheetDataSet>
  </externalBook>
</externalLink>
</file>

<file path=xl/tables/table1.xml><?xml version="1.0" encoding="utf-8"?>
<table xmlns="http://schemas.openxmlformats.org/spreadsheetml/2006/main" id="1" name="Tabella332" displayName="Tabella332" ref="A126:E138" totalsRowShown="0" headerRowDxfId="174" dataDxfId="173">
  <tableColumns count="5">
    <tableColumn id="1" name="Parametro" dataDxfId="172"/>
    <tableColumn id="2" name="Descrizione" dataDxfId="171"/>
    <tableColumn id="3" name="Unità di misura" dataDxfId="170"/>
    <tableColumn id="4" name="Valore" dataDxfId="169"/>
    <tableColumn id="5" name="nota" dataDxfId="168"/>
  </tableColumns>
  <tableStyleInfo name="TableStyleLight21" showFirstColumn="0" showLastColumn="0" showRowStripes="1" showColumnStripes="0"/>
</table>
</file>

<file path=xl/tables/table10.xml><?xml version="1.0" encoding="utf-8"?>
<table xmlns="http://schemas.openxmlformats.org/spreadsheetml/2006/main" id="10" name="Tabella3323101112" displayName="Tabella3323101112" ref="A78:E90" totalsRowShown="0" headerRowDxfId="117" dataDxfId="116">
  <tableColumns count="5">
    <tableColumn id="1" name="Parametro" dataDxfId="115"/>
    <tableColumn id="2" name="Descrizione" dataDxfId="114"/>
    <tableColumn id="3" name="Unità di misura" dataDxfId="113"/>
    <tableColumn id="4" name="Valore" dataDxfId="112"/>
    <tableColumn id="5" name="nota" dataDxfId="111"/>
  </tableColumns>
  <tableStyleInfo name="TableStyleLight21" showFirstColumn="0" showLastColumn="0" showRowStripes="1" showColumnStripes="0"/>
</table>
</file>

<file path=xl/tables/table11.xml><?xml version="1.0" encoding="utf-8"?>
<table xmlns="http://schemas.openxmlformats.org/spreadsheetml/2006/main" id="11" name="Tabella332310111213" displayName="Tabella332310111213" ref="A94:E106" totalsRowShown="0" headerRowDxfId="110" dataDxfId="109">
  <tableColumns count="5">
    <tableColumn id="1" name="Parametro" dataDxfId="108"/>
    <tableColumn id="2" name="Descrizione" dataDxfId="107"/>
    <tableColumn id="3" name="Unità di misura" dataDxfId="106"/>
    <tableColumn id="4" name="Valore" dataDxfId="105"/>
    <tableColumn id="5" name="nota" dataDxfId="104"/>
  </tableColumns>
  <tableStyleInfo name="TableStyleLight21" showFirstColumn="0" showLastColumn="0" showRowStripes="1" showColumnStripes="0"/>
</table>
</file>

<file path=xl/tables/table12.xml><?xml version="1.0" encoding="utf-8"?>
<table xmlns="http://schemas.openxmlformats.org/spreadsheetml/2006/main" id="12" name="Tabella33231011121314" displayName="Tabella33231011121314" ref="A110:E122" totalsRowShown="0" headerRowDxfId="103" dataDxfId="102">
  <tableColumns count="5">
    <tableColumn id="1" name="Parametro" dataDxfId="101"/>
    <tableColumn id="2" name="Descrizione" dataDxfId="100"/>
    <tableColumn id="3" name="Unità di misura" dataDxfId="99"/>
    <tableColumn id="4" name="Valore" dataDxfId="98"/>
    <tableColumn id="5" name="nota" dataDxfId="97"/>
  </tableColumns>
  <tableStyleInfo name="TableStyleLight21" showFirstColumn="0" showLastColumn="0" showRowStripes="1" showColumnStripes="0"/>
</table>
</file>

<file path=xl/tables/table13.xml><?xml version="1.0" encoding="utf-8"?>
<table xmlns="http://schemas.openxmlformats.org/spreadsheetml/2006/main" id="13" name="Tabella33215" displayName="Tabella33215" ref="A143:E155" totalsRowShown="0" headerRowDxfId="96" dataDxfId="95">
  <tableColumns count="5">
    <tableColumn id="1" name="Parametro" dataDxfId="94"/>
    <tableColumn id="2" name="Descrizione" dataDxfId="93"/>
    <tableColumn id="3" name="Unità di misura" dataDxfId="92"/>
    <tableColumn id="4" name="Valore" dataDxfId="91"/>
    <tableColumn id="5" name="nota" dataDxfId="90"/>
  </tableColumns>
  <tableStyleInfo name="TableStyleLight21" showFirstColumn="0" showLastColumn="0" showRowStripes="1" showColumnStripes="0"/>
</table>
</file>

<file path=xl/tables/table14.xml><?xml version="1.0" encoding="utf-8"?>
<table xmlns="http://schemas.openxmlformats.org/spreadsheetml/2006/main" id="14" name="Tabella3321516" displayName="Tabella3321516" ref="A159:E171" totalsRowShown="0" headerRowDxfId="89" dataDxfId="88">
  <tableColumns count="5">
    <tableColumn id="1" name="Parametro" dataDxfId="87"/>
    <tableColumn id="2" name="Descrizione" dataDxfId="86"/>
    <tableColumn id="3" name="Unità di misura" dataDxfId="85"/>
    <tableColumn id="4" name="Valore" dataDxfId="84"/>
    <tableColumn id="5" name="nota" dataDxfId="83"/>
  </tableColumns>
  <tableStyleInfo name="TableStyleLight21" showFirstColumn="0" showLastColumn="0" showRowStripes="1" showColumnStripes="0"/>
</table>
</file>

<file path=xl/tables/table15.xml><?xml version="1.0" encoding="utf-8"?>
<table xmlns="http://schemas.openxmlformats.org/spreadsheetml/2006/main" id="15" name="Tabella410417" displayName="Tabella410417" ref="A195:F211" totalsRowShown="0" headerRowDxfId="82" dataDxfId="81">
  <tableColumns count="6">
    <tableColumn id="1" name="Parametro" dataDxfId="80"/>
    <tableColumn id="2" name="Descrizione" dataDxfId="79"/>
    <tableColumn id="3" name="Unità di misura" dataDxfId="78"/>
    <tableColumn id="4" name="Valore" dataDxfId="77"/>
    <tableColumn id="5" name="ID QE" dataDxfId="76"/>
    <tableColumn id="6" name="NOTA riqualificazione" dataDxfId="75"/>
  </tableColumns>
  <tableStyleInfo name="TableStyleLight16" showFirstColumn="0" showLastColumn="0" showRowStripes="1" showColumnStripes="0"/>
</table>
</file>

<file path=xl/tables/table16.xml><?xml version="1.0" encoding="utf-8"?>
<table xmlns="http://schemas.openxmlformats.org/spreadsheetml/2006/main" id="16" name="Tabella41041718" displayName="Tabella41041718" ref="A215:F231" totalsRowShown="0" headerRowDxfId="74" dataDxfId="73">
  <tableColumns count="6">
    <tableColumn id="1" name="Parametro" dataDxfId="72"/>
    <tableColumn id="2" name="Descrizione" dataDxfId="71"/>
    <tableColumn id="3" name="Unità di misura" dataDxfId="70"/>
    <tableColumn id="4" name="Valore" dataDxfId="69"/>
    <tableColumn id="5" name="ID QE" dataDxfId="68"/>
    <tableColumn id="6" name="NOTA riqualificazione" dataDxfId="67"/>
  </tableColumns>
  <tableStyleInfo name="TableStyleLight16" showFirstColumn="0" showLastColumn="0" showRowStripes="1" showColumnStripes="0"/>
</table>
</file>

<file path=xl/tables/table17.xml><?xml version="1.0" encoding="utf-8"?>
<table xmlns="http://schemas.openxmlformats.org/spreadsheetml/2006/main" id="17" name="Tabella4104171819" displayName="Tabella4104171819" ref="A235:F251" totalsRowShown="0" headerRowDxfId="66" dataDxfId="65">
  <tableColumns count="6">
    <tableColumn id="1" name="Parametro" dataDxfId="64"/>
    <tableColumn id="2" name="Descrizione" dataDxfId="63"/>
    <tableColumn id="3" name="Unità di misura" dataDxfId="62"/>
    <tableColumn id="4" name="Valore" dataDxfId="61"/>
    <tableColumn id="5" name="ID QE" dataDxfId="60"/>
    <tableColumn id="6" name="NOTA riqualificazione" dataDxfId="59"/>
  </tableColumns>
  <tableStyleInfo name="TableStyleLight16" showFirstColumn="0" showLastColumn="0" showRowStripes="1" showColumnStripes="0"/>
</table>
</file>

<file path=xl/tables/table18.xml><?xml version="1.0" encoding="utf-8"?>
<table xmlns="http://schemas.openxmlformats.org/spreadsheetml/2006/main" id="18" name="Tabella410417181920" displayName="Tabella410417181920" ref="A255:F271" totalsRowShown="0" headerRowDxfId="58" dataDxfId="57">
  <tableColumns count="6">
    <tableColumn id="1" name="Parametro" dataDxfId="56"/>
    <tableColumn id="2" name="Descrizione" dataDxfId="55"/>
    <tableColumn id="3" name="Unità di misura" dataDxfId="54"/>
    <tableColumn id="4" name="Valore" dataDxfId="53"/>
    <tableColumn id="5" name="ID QE" dataDxfId="52"/>
    <tableColumn id="6" name="NOTA riqualificazione" dataDxfId="51"/>
  </tableColumns>
  <tableStyleInfo name="TableStyleLight16" showFirstColumn="0" showLastColumn="0" showRowStripes="1" showColumnStripes="0"/>
</table>
</file>

<file path=xl/tables/table19.xml><?xml version="1.0" encoding="utf-8"?>
<table xmlns="http://schemas.openxmlformats.org/spreadsheetml/2006/main" id="19" name="Tabella41041718192021" displayName="Tabella41041718192021" ref="A275:F291" totalsRowShown="0" headerRowDxfId="50" dataDxfId="49">
  <tableColumns count="6">
    <tableColumn id="1" name="Parametro" dataDxfId="48"/>
    <tableColumn id="2" name="Descrizione" dataDxfId="47"/>
    <tableColumn id="3" name="Unità di misura" dataDxfId="46"/>
    <tableColumn id="4" name="Valore" dataDxfId="45"/>
    <tableColumn id="5" name="ID QE" dataDxfId="44"/>
    <tableColumn id="6" name="NOTA riqualificazione" dataDxfId="43"/>
  </tableColumns>
  <tableStyleInfo name="TableStyleLight16" showFirstColumn="0" showLastColumn="0" showRowStripes="1" showColumnStripes="0"/>
</table>
</file>

<file path=xl/tables/table2.xml><?xml version="1.0" encoding="utf-8"?>
<table xmlns="http://schemas.openxmlformats.org/spreadsheetml/2006/main" id="2" name="Tabella4104" displayName="Tabella4104" ref="A175:F191" totalsRowShown="0" headerRowDxfId="167" dataDxfId="166">
  <tableColumns count="6">
    <tableColumn id="1" name="Parametro" dataDxfId="165"/>
    <tableColumn id="2" name="Descrizione" dataDxfId="164"/>
    <tableColumn id="3" name="Unità di misura" dataDxfId="163"/>
    <tableColumn id="4" name="Valore" dataDxfId="162"/>
    <tableColumn id="5" name="ID QE" dataDxfId="161"/>
    <tableColumn id="6" name="NOTA riqualificazione" dataDxfId="160"/>
  </tableColumns>
  <tableStyleInfo name="TableStyleLight16" showFirstColumn="0" showLastColumn="0" showRowStripes="1" showColumnStripes="0"/>
</table>
</file>

<file path=xl/tables/table20.xml><?xml version="1.0" encoding="utf-8"?>
<table xmlns="http://schemas.openxmlformats.org/spreadsheetml/2006/main" id="20" name="Tabella4104171819202122" displayName="Tabella4104171819202122" ref="A295:F311" totalsRowShown="0" headerRowDxfId="42" dataDxfId="41">
  <tableColumns count="6">
    <tableColumn id="1" name="Parametro" dataDxfId="40"/>
    <tableColumn id="2" name="Descrizione" dataDxfId="39"/>
    <tableColumn id="3" name="Unità di misura" dataDxfId="38"/>
    <tableColumn id="4" name="Valore" dataDxfId="37"/>
    <tableColumn id="5" name="ID QE" dataDxfId="36"/>
    <tableColumn id="6" name="NOTA riqualificazione" dataDxfId="35"/>
  </tableColumns>
  <tableStyleInfo name="TableStyleLight16" showFirstColumn="0" showLastColumn="0" showRowStripes="1" showColumnStripes="0"/>
</table>
</file>

<file path=xl/tables/table21.xml><?xml version="1.0" encoding="utf-8"?>
<table xmlns="http://schemas.openxmlformats.org/spreadsheetml/2006/main" id="21" name="Tabella410417181920212223" displayName="Tabella410417181920212223" ref="A315:F331" totalsRowShown="0" headerRowDxfId="34" dataDxfId="33">
  <tableColumns count="6">
    <tableColumn id="1" name="Parametro" dataDxfId="32"/>
    <tableColumn id="2" name="Descrizione" dataDxfId="31"/>
    <tableColumn id="3" name="Unità di misura" dataDxfId="30"/>
    <tableColumn id="4" name="Valore" dataDxfId="29"/>
    <tableColumn id="5" name="ID QE" dataDxfId="28"/>
    <tableColumn id="6" name="NOTA riqualificazione" dataDxfId="27"/>
  </tableColumns>
  <tableStyleInfo name="TableStyleLight16" showFirstColumn="0" showLastColumn="0" showRowStripes="1" showColumnStripes="0"/>
</table>
</file>

<file path=xl/tables/table22.xml><?xml version="1.0" encoding="utf-8"?>
<table xmlns="http://schemas.openxmlformats.org/spreadsheetml/2006/main" id="22" name="Tabella41041718192021222324" displayName="Tabella41041718192021222324" ref="A335:F351" totalsRowShown="0" headerRowDxfId="26" dataDxfId="25">
  <tableColumns count="6">
    <tableColumn id="1" name="Parametro" dataDxfId="24"/>
    <tableColumn id="2" name="Descrizione" dataDxfId="23"/>
    <tableColumn id="3" name="Unità di misura" dataDxfId="22"/>
    <tableColumn id="4" name="Valore" dataDxfId="21"/>
    <tableColumn id="5" name="ID QE" dataDxfId="20"/>
    <tableColumn id="6" name="NOTA riqualificazione" dataDxfId="19"/>
  </tableColumns>
  <tableStyleInfo name="TableStyleLight16" showFirstColumn="0" showLastColumn="0" showRowStripes="1" showColumnStripes="0"/>
</table>
</file>

<file path=xl/tables/table23.xml><?xml version="1.0" encoding="utf-8"?>
<table xmlns="http://schemas.openxmlformats.org/spreadsheetml/2006/main" id="23" name="Tabella4104171819202122232425" displayName="Tabella4104171819202122232425" ref="A356:F372" totalsRowShown="0" headerRowDxfId="18" dataDxfId="17">
  <tableColumns count="6">
    <tableColumn id="1" name="Parametro" dataDxfId="16"/>
    <tableColumn id="2" name="Descrizione" dataDxfId="15"/>
    <tableColumn id="3" name="Unità di misura" dataDxfId="14"/>
    <tableColumn id="4" name="Valore" dataDxfId="13"/>
    <tableColumn id="5" name="ID QE" dataDxfId="12"/>
    <tableColumn id="6" name="NOTA riqualificazione" dataDxfId="11"/>
  </tableColumns>
  <tableStyleInfo name="TableStyleLight16" showFirstColumn="0" showLastColumn="0" showRowStripes="1" showColumnStripes="0"/>
</table>
</file>

<file path=xl/tables/table24.xml><?xml version="1.0" encoding="utf-8"?>
<table xmlns="http://schemas.openxmlformats.org/spreadsheetml/2006/main" id="24" name="Tabella1137" displayName="Tabella1137" ref="A3:I23" totalsRowShown="0" headerRowDxfId="10" dataDxfId="9">
  <tableColumns count="9">
    <tableColumn id="1" name="Parametro" dataDxfId="8"/>
    <tableColumn id="2" name="Descrizione" dataDxfId="7"/>
    <tableColumn id="3" name="Unità di misura" dataDxfId="6"/>
    <tableColumn id="4" name="Valore" dataDxfId="5"/>
    <tableColumn id="5" name="Nome della Via" dataDxfId="4"/>
    <tableColumn id="6" name="Inizio e fine (dal  numero civico al numero civico oppure dal km al km)" dataDxfId="3"/>
    <tableColumn id="7" name="precisazione Tronco come da mappa" dataDxfId="2"/>
    <tableColumn id="8" name="nota" dataDxfId="1"/>
    <tableColumn id="9" name="ID quadro elettrico" dataDxfId="0"/>
  </tableColumns>
  <tableStyleInfo name="TableStyleLight16" showFirstColumn="0" showLastColumn="0" showRowStripes="1" showColumnStripes="0"/>
</table>
</file>

<file path=xl/tables/table3.xml><?xml version="1.0" encoding="utf-8"?>
<table xmlns="http://schemas.openxmlformats.org/spreadsheetml/2006/main" id="3" name="Tabella5115" displayName="Tabella5115" ref="A428:E437" totalsRowShown="0" headerRowDxfId="159" dataDxfId="158">
  <tableColumns count="5">
    <tableColumn id="1" name="Parametro" dataDxfId="157"/>
    <tableColumn id="2" name="Descrizione" dataDxfId="156"/>
    <tableColumn id="3" name="Unità di misura" dataDxfId="155"/>
    <tableColumn id="4" name="Valore" dataDxfId="154"/>
    <tableColumn id="5" name="Colonna1" dataDxfId="153"/>
  </tableColumns>
  <tableStyleInfo name="TableStyleLight19" showFirstColumn="0" showLastColumn="0" showRowStripes="1" showColumnStripes="0"/>
</table>
</file>

<file path=xl/tables/table4.xml><?xml version="1.0" encoding="utf-8"?>
<table xmlns="http://schemas.openxmlformats.org/spreadsheetml/2006/main" id="4" name="Tabella7126" displayName="Tabella7126" ref="A442:D449" totalsRowShown="0" headerRowDxfId="152" dataDxfId="151">
  <tableColumns count="4">
    <tableColumn id="1" name="Parametro" dataDxfId="150"/>
    <tableColumn id="2" name="Descrizione" dataDxfId="149"/>
    <tableColumn id="3" name="Unità di misura" dataDxfId="148"/>
    <tableColumn id="4" name="Valore" dataDxfId="147"/>
  </tableColumns>
  <tableStyleInfo name="TableStyleLight15" showFirstColumn="0" showLastColumn="0" showRowStripes="1" showColumnStripes="0"/>
</table>
</file>

<file path=xl/tables/table5.xml><?xml version="1.0" encoding="utf-8"?>
<table xmlns="http://schemas.openxmlformats.org/spreadsheetml/2006/main" id="5" name="Tabella6148" displayName="Tabella6148" ref="A376:D390" totalsRowShown="0" headerRowDxfId="146">
  <tableColumns count="4">
    <tableColumn id="1" name="Parametro" dataDxfId="145"/>
    <tableColumn id="2" name="Descrizione" dataDxfId="144"/>
    <tableColumn id="3" name="Unità di misura" dataDxfId="143"/>
    <tableColumn id="4" name="Valore" dataDxfId="142"/>
  </tableColumns>
  <tableStyleInfo name="TableStyleLight17" showFirstColumn="0" showLastColumn="0" showRowStripes="1" showColumnStripes="0"/>
</table>
</file>

<file path=xl/tables/table6.xml><?xml version="1.0" encoding="utf-8"?>
<table xmlns="http://schemas.openxmlformats.org/spreadsheetml/2006/main" id="6" name="Tabella8159" displayName="Tabella8159" ref="A395:D423" totalsRowShown="0" headerRowDxfId="141">
  <tableColumns count="4">
    <tableColumn id="1" name="Parametro"/>
    <tableColumn id="2" name="Descrizione"/>
    <tableColumn id="3" name="Unità di misura" dataDxfId="140"/>
    <tableColumn id="4" name="Valore" dataDxfId="139"/>
  </tableColumns>
  <tableStyleInfo name="TableStyleLight18" showFirstColumn="0" showLastColumn="0" showRowStripes="1" showColumnStripes="0"/>
</table>
</file>

<file path=xl/tables/table7.xml><?xml version="1.0" encoding="utf-8"?>
<table xmlns="http://schemas.openxmlformats.org/spreadsheetml/2006/main" id="7" name="Tabella3323" displayName="Tabella3323" ref="A28:E40" totalsRowShown="0" headerRowDxfId="138" dataDxfId="137">
  <tableColumns count="5">
    <tableColumn id="1" name="Parametro" dataDxfId="136"/>
    <tableColumn id="2" name="Descrizione" dataDxfId="135"/>
    <tableColumn id="3" name="Unità di misura" dataDxfId="134"/>
    <tableColumn id="4" name="Valore" dataDxfId="133"/>
    <tableColumn id="5" name="nota " dataDxfId="132"/>
  </tableColumns>
  <tableStyleInfo name="TableStyleLight21" showFirstColumn="0" showLastColumn="0" showRowStripes="1" showColumnStripes="0"/>
</table>
</file>

<file path=xl/tables/table8.xml><?xml version="1.0" encoding="utf-8"?>
<table xmlns="http://schemas.openxmlformats.org/spreadsheetml/2006/main" id="8" name="Tabella332310" displayName="Tabella332310" ref="A45:E57" totalsRowShown="0" headerRowDxfId="131" dataDxfId="130">
  <tableColumns count="5">
    <tableColumn id="1" name="Parametro" dataDxfId="129"/>
    <tableColumn id="2" name="Descrizione" dataDxfId="128"/>
    <tableColumn id="3" name="Unità di misura" dataDxfId="127"/>
    <tableColumn id="4" name="Valore" dataDxfId="126"/>
    <tableColumn id="5" name="nota" dataDxfId="125"/>
  </tableColumns>
  <tableStyleInfo name="TableStyleLight21" showFirstColumn="0" showLastColumn="0" showRowStripes="1" showColumnStripes="0"/>
</table>
</file>

<file path=xl/tables/table9.xml><?xml version="1.0" encoding="utf-8"?>
<table xmlns="http://schemas.openxmlformats.org/spreadsheetml/2006/main" id="9" name="Tabella33231011" displayName="Tabella33231011" ref="A61:E73" totalsRowShown="0" headerRowDxfId="124" dataDxfId="123">
  <tableColumns count="5">
    <tableColumn id="1" name="Parametro" dataDxfId="122"/>
    <tableColumn id="2" name="Descrizione" dataDxfId="121"/>
    <tableColumn id="3" name="Unità di misura" dataDxfId="120"/>
    <tableColumn id="4" name="Valore" dataDxfId="119"/>
    <tableColumn id="5" name="nota" dataDxfId="118"/>
  </tableColumns>
  <tableStyleInfo name="TableStyleLight21" showFirstColumn="0" showLastColumn="0" showRowStripes="1" showColumnStripes="0"/>
</table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13" Type="http://schemas.openxmlformats.org/officeDocument/2006/relationships/table" Target="../tables/table11.xml"/><Relationship Id="rId18" Type="http://schemas.openxmlformats.org/officeDocument/2006/relationships/table" Target="../tables/table16.xml"/><Relationship Id="rId26" Type="http://schemas.openxmlformats.org/officeDocument/2006/relationships/table" Target="../tables/table24.xml"/><Relationship Id="rId3" Type="http://schemas.openxmlformats.org/officeDocument/2006/relationships/table" Target="../tables/table1.xml"/><Relationship Id="rId21" Type="http://schemas.openxmlformats.org/officeDocument/2006/relationships/table" Target="../tables/table19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17" Type="http://schemas.openxmlformats.org/officeDocument/2006/relationships/table" Target="../tables/table15.xml"/><Relationship Id="rId25" Type="http://schemas.openxmlformats.org/officeDocument/2006/relationships/table" Target="../tables/table23.xml"/><Relationship Id="rId2" Type="http://schemas.openxmlformats.org/officeDocument/2006/relationships/vmlDrawing" Target="../drawings/vmlDrawing1.vml"/><Relationship Id="rId16" Type="http://schemas.openxmlformats.org/officeDocument/2006/relationships/table" Target="../tables/table14.xml"/><Relationship Id="rId20" Type="http://schemas.openxmlformats.org/officeDocument/2006/relationships/table" Target="../tables/table18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24" Type="http://schemas.openxmlformats.org/officeDocument/2006/relationships/table" Target="../tables/table22.xml"/><Relationship Id="rId5" Type="http://schemas.openxmlformats.org/officeDocument/2006/relationships/table" Target="../tables/table3.xml"/><Relationship Id="rId15" Type="http://schemas.openxmlformats.org/officeDocument/2006/relationships/table" Target="../tables/table13.xml"/><Relationship Id="rId23" Type="http://schemas.openxmlformats.org/officeDocument/2006/relationships/table" Target="../tables/table21.xml"/><Relationship Id="rId10" Type="http://schemas.openxmlformats.org/officeDocument/2006/relationships/table" Target="../tables/table8.xml"/><Relationship Id="rId19" Type="http://schemas.openxmlformats.org/officeDocument/2006/relationships/table" Target="../tables/table17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Relationship Id="rId14" Type="http://schemas.openxmlformats.org/officeDocument/2006/relationships/table" Target="../tables/table12.xml"/><Relationship Id="rId22" Type="http://schemas.openxmlformats.org/officeDocument/2006/relationships/table" Target="../tables/table20.xml"/><Relationship Id="rId27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450"/>
  <sheetViews>
    <sheetView topLeftCell="A157" zoomScale="80" zoomScaleNormal="80" workbookViewId="0">
      <selection activeCell="C210" sqref="C210"/>
    </sheetView>
  </sheetViews>
  <sheetFormatPr defaultRowHeight="14.5" x14ac:dyDescent="0.35"/>
  <cols>
    <col min="1" max="1" width="59.453125" bestFit="1" customWidth="1"/>
    <col min="2" max="2" width="50.54296875" bestFit="1" customWidth="1"/>
    <col min="3" max="3" width="37.453125" bestFit="1" customWidth="1"/>
    <col min="4" max="4" width="37.453125" customWidth="1"/>
    <col min="5" max="5" width="62.54296875" bestFit="1" customWidth="1"/>
    <col min="6" max="6" width="84.54296875" bestFit="1" customWidth="1"/>
    <col min="7" max="7" width="52.26953125" customWidth="1"/>
    <col min="8" max="8" width="65" bestFit="1" customWidth="1"/>
    <col min="9" max="9" width="24.1796875" bestFit="1" customWidth="1"/>
  </cols>
  <sheetData>
    <row r="1" spans="1:9" ht="29" x14ac:dyDescent="0.35">
      <c r="A1" s="414" t="s">
        <v>312</v>
      </c>
      <c r="B1" s="414"/>
      <c r="C1" s="414"/>
      <c r="D1" s="414"/>
      <c r="E1" s="414"/>
      <c r="F1" s="414"/>
      <c r="G1" s="323" t="s">
        <v>313</v>
      </c>
    </row>
    <row r="2" spans="1:9" x14ac:dyDescent="0.35">
      <c r="A2" s="324"/>
      <c r="B2" s="324"/>
      <c r="C2" s="324"/>
      <c r="D2" s="324"/>
      <c r="E2" s="415" t="s">
        <v>314</v>
      </c>
      <c r="F2" s="415"/>
      <c r="G2" s="323"/>
    </row>
    <row r="3" spans="1:9" ht="15" thickBot="1" x14ac:dyDescent="0.4">
      <c r="A3" s="325" t="s">
        <v>315</v>
      </c>
      <c r="B3" s="325" t="s">
        <v>316</v>
      </c>
      <c r="C3" s="325" t="s">
        <v>317</v>
      </c>
      <c r="D3" s="325" t="s">
        <v>318</v>
      </c>
      <c r="E3" s="325" t="s">
        <v>319</v>
      </c>
      <c r="F3" s="326" t="s">
        <v>320</v>
      </c>
      <c r="G3" s="325" t="s">
        <v>321</v>
      </c>
      <c r="H3" s="325" t="s">
        <v>322</v>
      </c>
      <c r="I3" s="325" t="s">
        <v>323</v>
      </c>
    </row>
    <row r="4" spans="1:9" ht="29" x14ac:dyDescent="0.35">
      <c r="A4" s="327" t="s">
        <v>324</v>
      </c>
      <c r="B4" s="328" t="s">
        <v>325</v>
      </c>
      <c r="C4" s="329" t="s">
        <v>326</v>
      </c>
      <c r="D4" s="330">
        <v>330</v>
      </c>
      <c r="E4" s="331" t="s">
        <v>327</v>
      </c>
      <c r="F4" s="331" t="s">
        <v>328</v>
      </c>
      <c r="G4" s="332" t="s">
        <v>329</v>
      </c>
      <c r="H4" s="333" t="s">
        <v>330</v>
      </c>
      <c r="I4" s="246" t="s">
        <v>331</v>
      </c>
    </row>
    <row r="5" spans="1:9" ht="29.5" thickBot="1" x14ac:dyDescent="0.4">
      <c r="A5" s="334" t="s">
        <v>332</v>
      </c>
      <c r="B5" s="335" t="s">
        <v>333</v>
      </c>
      <c r="C5" s="336" t="s">
        <v>334</v>
      </c>
      <c r="D5" s="337">
        <v>6</v>
      </c>
      <c r="E5" s="338" t="s">
        <v>335</v>
      </c>
      <c r="F5" s="338" t="s">
        <v>335</v>
      </c>
      <c r="G5" s="339"/>
      <c r="H5" s="246"/>
      <c r="I5" s="246"/>
    </row>
    <row r="6" spans="1:9" ht="29" x14ac:dyDescent="0.35">
      <c r="A6" s="327" t="s">
        <v>336</v>
      </c>
      <c r="B6" s="328" t="s">
        <v>325</v>
      </c>
      <c r="C6" s="329" t="s">
        <v>326</v>
      </c>
      <c r="D6" s="330">
        <v>110</v>
      </c>
      <c r="E6" s="331" t="s">
        <v>337</v>
      </c>
      <c r="F6" s="331" t="s">
        <v>338</v>
      </c>
      <c r="G6" s="332" t="s">
        <v>339</v>
      </c>
      <c r="H6" s="333" t="s">
        <v>330</v>
      </c>
      <c r="I6" s="246" t="s">
        <v>340</v>
      </c>
    </row>
    <row r="7" spans="1:9" ht="29.5" thickBot="1" x14ac:dyDescent="0.4">
      <c r="A7" s="334" t="s">
        <v>341</v>
      </c>
      <c r="B7" s="335" t="s">
        <v>342</v>
      </c>
      <c r="C7" s="336" t="s">
        <v>334</v>
      </c>
      <c r="D7" s="337">
        <v>2</v>
      </c>
      <c r="E7" s="338" t="s">
        <v>335</v>
      </c>
      <c r="F7" s="338" t="s">
        <v>335</v>
      </c>
      <c r="G7" s="339"/>
      <c r="H7" s="246"/>
      <c r="I7" s="246"/>
    </row>
    <row r="8" spans="1:9" ht="29" x14ac:dyDescent="0.35">
      <c r="A8" s="327" t="s">
        <v>343</v>
      </c>
      <c r="B8" s="328" t="s">
        <v>325</v>
      </c>
      <c r="C8" s="329" t="s">
        <v>326</v>
      </c>
      <c r="D8" s="330">
        <v>366</v>
      </c>
      <c r="E8" s="331" t="s">
        <v>337</v>
      </c>
      <c r="F8" s="331" t="s">
        <v>344</v>
      </c>
      <c r="G8" s="332" t="s">
        <v>345</v>
      </c>
      <c r="H8" s="333" t="s">
        <v>330</v>
      </c>
      <c r="I8" s="246" t="s">
        <v>340</v>
      </c>
    </row>
    <row r="9" spans="1:9" ht="29.5" thickBot="1" x14ac:dyDescent="0.4">
      <c r="A9" s="334" t="s">
        <v>346</v>
      </c>
      <c r="B9" s="335" t="s">
        <v>347</v>
      </c>
      <c r="C9" s="336" t="s">
        <v>334</v>
      </c>
      <c r="D9" s="337">
        <v>6</v>
      </c>
      <c r="E9" s="338" t="s">
        <v>335</v>
      </c>
      <c r="F9" s="338" t="s">
        <v>335</v>
      </c>
      <c r="G9" s="339"/>
      <c r="H9" s="246"/>
      <c r="I9" s="246"/>
    </row>
    <row r="10" spans="1:9" ht="29" x14ac:dyDescent="0.35">
      <c r="A10" s="327" t="s">
        <v>348</v>
      </c>
      <c r="B10" s="328" t="s">
        <v>349</v>
      </c>
      <c r="C10" s="329" t="s">
        <v>326</v>
      </c>
      <c r="D10" s="330">
        <v>75</v>
      </c>
      <c r="E10" s="331" t="s">
        <v>337</v>
      </c>
      <c r="F10" s="331" t="s">
        <v>350</v>
      </c>
      <c r="G10" s="332" t="s">
        <v>351</v>
      </c>
      <c r="H10" s="333" t="s">
        <v>352</v>
      </c>
      <c r="I10" s="246" t="s">
        <v>353</v>
      </c>
    </row>
    <row r="11" spans="1:9" ht="29.5" thickBot="1" x14ac:dyDescent="0.4">
      <c r="A11" s="334" t="s">
        <v>354</v>
      </c>
      <c r="B11" s="335" t="s">
        <v>355</v>
      </c>
      <c r="C11" s="336" t="s">
        <v>334</v>
      </c>
      <c r="D11" s="337">
        <v>1</v>
      </c>
      <c r="E11" s="338" t="s">
        <v>335</v>
      </c>
      <c r="F11" s="338" t="s">
        <v>335</v>
      </c>
      <c r="G11" s="339"/>
      <c r="H11" s="246"/>
      <c r="I11" s="246"/>
    </row>
    <row r="12" spans="1:9" ht="29" x14ac:dyDescent="0.35">
      <c r="A12" s="327" t="s">
        <v>356</v>
      </c>
      <c r="B12" s="328" t="s">
        <v>325</v>
      </c>
      <c r="C12" s="329" t="s">
        <v>326</v>
      </c>
      <c r="D12" s="330">
        <v>150</v>
      </c>
      <c r="E12" s="331" t="s">
        <v>337</v>
      </c>
      <c r="F12" s="331" t="s">
        <v>357</v>
      </c>
      <c r="G12" s="332" t="s">
        <v>358</v>
      </c>
      <c r="H12" s="333" t="s">
        <v>330</v>
      </c>
      <c r="I12" s="246" t="s">
        <v>359</v>
      </c>
    </row>
    <row r="13" spans="1:9" ht="29.5" thickBot="1" x14ac:dyDescent="0.4">
      <c r="A13" s="340" t="s">
        <v>360</v>
      </c>
      <c r="B13" s="341" t="s">
        <v>361</v>
      </c>
      <c r="C13" s="342" t="s">
        <v>334</v>
      </c>
      <c r="D13" s="343">
        <v>1</v>
      </c>
      <c r="E13" s="344" t="s">
        <v>335</v>
      </c>
      <c r="F13" s="344" t="s">
        <v>335</v>
      </c>
      <c r="G13" s="345"/>
      <c r="H13" s="246"/>
      <c r="I13" s="246"/>
    </row>
    <row r="14" spans="1:9" ht="29" x14ac:dyDescent="0.35">
      <c r="A14" s="340" t="s">
        <v>362</v>
      </c>
      <c r="B14" s="328" t="s">
        <v>325</v>
      </c>
      <c r="C14" s="342" t="s">
        <v>326</v>
      </c>
      <c r="D14" s="343">
        <v>150</v>
      </c>
      <c r="E14" s="344" t="s">
        <v>337</v>
      </c>
      <c r="F14" s="344" t="s">
        <v>357</v>
      </c>
      <c r="G14" s="345" t="s">
        <v>363</v>
      </c>
      <c r="H14" s="333" t="s">
        <v>330</v>
      </c>
      <c r="I14" s="246" t="s">
        <v>359</v>
      </c>
    </row>
    <row r="15" spans="1:9" ht="29.5" thickBot="1" x14ac:dyDescent="0.4">
      <c r="A15" s="340" t="s">
        <v>364</v>
      </c>
      <c r="B15" s="341" t="s">
        <v>365</v>
      </c>
      <c r="C15" s="342" t="s">
        <v>334</v>
      </c>
      <c r="D15" s="343">
        <v>1</v>
      </c>
      <c r="E15" s="344" t="s">
        <v>335</v>
      </c>
      <c r="F15" s="344" t="s">
        <v>335</v>
      </c>
      <c r="G15" s="345"/>
      <c r="H15" s="246"/>
      <c r="I15" s="246"/>
    </row>
    <row r="16" spans="1:9" ht="29" x14ac:dyDescent="0.35">
      <c r="A16" s="340" t="s">
        <v>366</v>
      </c>
      <c r="B16" s="328" t="s">
        <v>325</v>
      </c>
      <c r="C16" s="342" t="s">
        <v>326</v>
      </c>
      <c r="D16" s="343">
        <v>150</v>
      </c>
      <c r="E16" s="344" t="s">
        <v>337</v>
      </c>
      <c r="F16" s="344" t="s">
        <v>357</v>
      </c>
      <c r="G16" s="345" t="s">
        <v>367</v>
      </c>
      <c r="H16" s="333" t="s">
        <v>330</v>
      </c>
      <c r="I16" s="246" t="s">
        <v>368</v>
      </c>
    </row>
    <row r="17" spans="1:9" ht="29.5" thickBot="1" x14ac:dyDescent="0.4">
      <c r="A17" s="340" t="s">
        <v>369</v>
      </c>
      <c r="B17" s="341" t="s">
        <v>370</v>
      </c>
      <c r="C17" s="342" t="s">
        <v>334</v>
      </c>
      <c r="D17" s="343">
        <v>1</v>
      </c>
      <c r="E17" s="344" t="s">
        <v>335</v>
      </c>
      <c r="F17" s="344" t="s">
        <v>335</v>
      </c>
      <c r="G17" s="345"/>
      <c r="H17" s="246"/>
      <c r="I17" s="246"/>
    </row>
    <row r="18" spans="1:9" ht="29" x14ac:dyDescent="0.35">
      <c r="A18" s="340" t="s">
        <v>371</v>
      </c>
      <c r="B18" s="328" t="s">
        <v>325</v>
      </c>
      <c r="C18" s="342" t="s">
        <v>326</v>
      </c>
      <c r="D18" s="343">
        <v>150</v>
      </c>
      <c r="E18" s="344" t="s">
        <v>337</v>
      </c>
      <c r="F18" s="344" t="s">
        <v>357</v>
      </c>
      <c r="G18" s="345" t="s">
        <v>372</v>
      </c>
      <c r="H18" s="333" t="s">
        <v>330</v>
      </c>
      <c r="I18" s="246" t="s">
        <v>368</v>
      </c>
    </row>
    <row r="19" spans="1:9" ht="29.5" thickBot="1" x14ac:dyDescent="0.4">
      <c r="A19" s="340" t="s">
        <v>373</v>
      </c>
      <c r="B19" s="341" t="s">
        <v>374</v>
      </c>
      <c r="C19" s="342" t="s">
        <v>334</v>
      </c>
      <c r="D19" s="343">
        <v>1</v>
      </c>
      <c r="E19" s="344" t="s">
        <v>335</v>
      </c>
      <c r="F19" s="344" t="s">
        <v>335</v>
      </c>
      <c r="G19" s="345"/>
      <c r="H19" s="246"/>
      <c r="I19" s="246"/>
    </row>
    <row r="20" spans="1:9" ht="29" x14ac:dyDescent="0.35">
      <c r="A20" s="340" t="s">
        <v>375</v>
      </c>
      <c r="B20" s="328" t="s">
        <v>325</v>
      </c>
      <c r="C20" s="342" t="s">
        <v>326</v>
      </c>
      <c r="D20" s="343">
        <v>150</v>
      </c>
      <c r="E20" s="344" t="s">
        <v>337</v>
      </c>
      <c r="F20" s="344" t="s">
        <v>357</v>
      </c>
      <c r="G20" s="345" t="s">
        <v>376</v>
      </c>
      <c r="H20" s="246"/>
      <c r="I20" s="246" t="s">
        <v>368</v>
      </c>
    </row>
    <row r="21" spans="1:9" ht="29.5" thickBot="1" x14ac:dyDescent="0.4">
      <c r="A21" s="334" t="s">
        <v>377</v>
      </c>
      <c r="B21" s="335" t="s">
        <v>378</v>
      </c>
      <c r="C21" s="336" t="s">
        <v>334</v>
      </c>
      <c r="D21" s="337">
        <v>1</v>
      </c>
      <c r="E21" s="338" t="s">
        <v>335</v>
      </c>
      <c r="F21" s="338" t="s">
        <v>335</v>
      </c>
      <c r="G21" s="339"/>
      <c r="H21" s="19"/>
      <c r="I21" s="19"/>
    </row>
    <row r="22" spans="1:9" ht="29" x14ac:dyDescent="0.35">
      <c r="A22" s="327" t="s">
        <v>379</v>
      </c>
      <c r="B22" s="328" t="s">
        <v>325</v>
      </c>
      <c r="C22" s="329" t="s">
        <v>326</v>
      </c>
      <c r="D22" s="330">
        <v>65</v>
      </c>
      <c r="E22" s="331" t="s">
        <v>337</v>
      </c>
      <c r="F22" s="331" t="s">
        <v>380</v>
      </c>
      <c r="G22" s="332" t="s">
        <v>381</v>
      </c>
      <c r="H22" s="19"/>
      <c r="I22" s="246" t="s">
        <v>382</v>
      </c>
    </row>
    <row r="23" spans="1:9" ht="29.5" thickBot="1" x14ac:dyDescent="0.4">
      <c r="A23" s="334" t="s">
        <v>383</v>
      </c>
      <c r="B23" s="335" t="s">
        <v>384</v>
      </c>
      <c r="C23" s="336" t="s">
        <v>334</v>
      </c>
      <c r="D23" s="337">
        <v>1</v>
      </c>
      <c r="E23" s="338" t="s">
        <v>335</v>
      </c>
      <c r="F23" s="338" t="s">
        <v>335</v>
      </c>
      <c r="G23" s="339"/>
      <c r="H23" s="19"/>
      <c r="I23" s="19"/>
    </row>
    <row r="24" spans="1:9" x14ac:dyDescent="0.35">
      <c r="A24" s="416"/>
      <c r="B24" s="416"/>
      <c r="C24" s="416"/>
      <c r="D24" s="416"/>
      <c r="E24" s="416"/>
      <c r="F24" s="416"/>
      <c r="G24" s="346"/>
      <c r="H24" s="18"/>
      <c r="I24" s="18"/>
    </row>
    <row r="25" spans="1:9" ht="15" thickBot="1" x14ac:dyDescent="0.4"/>
    <row r="26" spans="1:9" ht="15" thickBot="1" x14ac:dyDescent="0.4">
      <c r="A26" s="411" t="s">
        <v>385</v>
      </c>
      <c r="B26" s="412"/>
      <c r="C26" s="412"/>
      <c r="D26" s="413"/>
    </row>
    <row r="27" spans="1:9" x14ac:dyDescent="0.35">
      <c r="A27" s="410" t="s">
        <v>386</v>
      </c>
      <c r="B27" s="410"/>
      <c r="C27" s="410"/>
      <c r="D27" s="410"/>
    </row>
    <row r="28" spans="1:9" x14ac:dyDescent="0.35">
      <c r="A28" s="325" t="s">
        <v>315</v>
      </c>
      <c r="B28" s="325" t="s">
        <v>316</v>
      </c>
      <c r="C28" s="325" t="s">
        <v>317</v>
      </c>
      <c r="D28" s="325" t="s">
        <v>318</v>
      </c>
      <c r="E28" s="325" t="s">
        <v>387</v>
      </c>
      <c r="G28" s="71" t="s">
        <v>615</v>
      </c>
      <c r="H28" s="373">
        <f>D30*(D34+D35)*D37</f>
        <v>21615</v>
      </c>
    </row>
    <row r="29" spans="1:9" x14ac:dyDescent="0.35">
      <c r="A29" s="347" t="s">
        <v>388</v>
      </c>
      <c r="B29" s="348" t="s">
        <v>389</v>
      </c>
      <c r="C29" s="349" t="s">
        <v>390</v>
      </c>
      <c r="D29" s="350" t="s">
        <v>391</v>
      </c>
      <c r="E29" s="351"/>
      <c r="G29" s="71" t="s">
        <v>616</v>
      </c>
      <c r="H29" s="374">
        <f>H28*$D$430</f>
        <v>3890.7</v>
      </c>
    </row>
    <row r="30" spans="1:9" x14ac:dyDescent="0.35">
      <c r="A30" s="347" t="s">
        <v>392</v>
      </c>
      <c r="B30" s="348" t="s">
        <v>393</v>
      </c>
      <c r="C30" s="349" t="s">
        <v>394</v>
      </c>
      <c r="D30" s="350">
        <v>50</v>
      </c>
      <c r="E30" s="351"/>
    </row>
    <row r="31" spans="1:9" x14ac:dyDescent="0.35">
      <c r="A31" s="347" t="s">
        <v>395</v>
      </c>
      <c r="B31" s="348" t="s">
        <v>396</v>
      </c>
      <c r="C31" s="349" t="s">
        <v>397</v>
      </c>
      <c r="D31" s="350">
        <v>89.29</v>
      </c>
      <c r="E31" s="352" t="s">
        <v>398</v>
      </c>
    </row>
    <row r="32" spans="1:9" x14ac:dyDescent="0.35">
      <c r="A32" s="349" t="s">
        <v>399</v>
      </c>
      <c r="B32" s="348" t="s">
        <v>400</v>
      </c>
      <c r="C32" s="349" t="s">
        <v>20</v>
      </c>
      <c r="D32" s="350">
        <v>1</v>
      </c>
      <c r="E32" s="351"/>
    </row>
    <row r="33" spans="1:8" x14ac:dyDescent="0.35">
      <c r="A33" s="349" t="s">
        <v>401</v>
      </c>
      <c r="B33" s="348" t="s">
        <v>402</v>
      </c>
      <c r="C33" s="349" t="s">
        <v>403</v>
      </c>
      <c r="D33" s="350">
        <v>1000</v>
      </c>
      <c r="E33" s="351"/>
    </row>
    <row r="34" spans="1:8" x14ac:dyDescent="0.35">
      <c r="A34" s="347" t="s">
        <v>404</v>
      </c>
      <c r="B34" s="348" t="s">
        <v>405</v>
      </c>
      <c r="C34" s="349" t="s">
        <v>406</v>
      </c>
      <c r="D34" s="350">
        <v>0.1</v>
      </c>
      <c r="E34" s="351"/>
    </row>
    <row r="35" spans="1:8" ht="29" x14ac:dyDescent="0.35">
      <c r="A35" s="353" t="s">
        <v>407</v>
      </c>
      <c r="B35" s="354" t="s">
        <v>408</v>
      </c>
      <c r="C35" s="349" t="s">
        <v>406</v>
      </c>
      <c r="D35" s="350">
        <v>0.01</v>
      </c>
      <c r="E35" s="351"/>
    </row>
    <row r="36" spans="1:8" ht="29" x14ac:dyDescent="0.35">
      <c r="A36" s="349" t="s">
        <v>409</v>
      </c>
      <c r="B36" s="348" t="s">
        <v>410</v>
      </c>
      <c r="C36" s="349" t="s">
        <v>411</v>
      </c>
      <c r="D36" s="350">
        <v>0</v>
      </c>
      <c r="E36" s="351"/>
    </row>
    <row r="37" spans="1:8" ht="29" x14ac:dyDescent="0.35">
      <c r="A37" s="347" t="s">
        <v>412</v>
      </c>
      <c r="B37" s="348" t="s">
        <v>413</v>
      </c>
      <c r="C37" s="349" t="s">
        <v>414</v>
      </c>
      <c r="D37" s="350">
        <v>3930</v>
      </c>
      <c r="E37" s="351"/>
    </row>
    <row r="38" spans="1:8" ht="29" x14ac:dyDescent="0.35">
      <c r="A38" s="347" t="s">
        <v>415</v>
      </c>
      <c r="B38" s="348" t="s">
        <v>416</v>
      </c>
      <c r="C38" s="349" t="s">
        <v>414</v>
      </c>
      <c r="D38" s="350">
        <v>0</v>
      </c>
      <c r="E38" s="351"/>
    </row>
    <row r="39" spans="1:8" ht="43.5" x14ac:dyDescent="0.35">
      <c r="A39" s="349" t="s">
        <v>417</v>
      </c>
      <c r="B39" s="354" t="s">
        <v>418</v>
      </c>
      <c r="C39" s="349" t="s">
        <v>419</v>
      </c>
      <c r="D39" s="350">
        <v>4</v>
      </c>
      <c r="E39" s="351" t="s">
        <v>420</v>
      </c>
    </row>
    <row r="40" spans="1:8" x14ac:dyDescent="0.35">
      <c r="A40" s="349" t="s">
        <v>421</v>
      </c>
      <c r="B40" s="348" t="s">
        <v>422</v>
      </c>
      <c r="C40" s="349" t="s">
        <v>423</v>
      </c>
      <c r="D40" s="350">
        <v>10</v>
      </c>
      <c r="E40" s="352" t="s">
        <v>398</v>
      </c>
    </row>
    <row r="42" spans="1:8" ht="15" thickBot="1" x14ac:dyDescent="0.4"/>
    <row r="43" spans="1:8" ht="15" thickBot="1" x14ac:dyDescent="0.4">
      <c r="A43" s="411" t="s">
        <v>424</v>
      </c>
      <c r="B43" s="412"/>
      <c r="C43" s="412"/>
      <c r="D43" s="413"/>
    </row>
    <row r="44" spans="1:8" x14ac:dyDescent="0.35">
      <c r="A44" s="410" t="s">
        <v>386</v>
      </c>
      <c r="B44" s="410"/>
      <c r="C44" s="410"/>
      <c r="D44" s="410"/>
    </row>
    <row r="45" spans="1:8" x14ac:dyDescent="0.35">
      <c r="A45" s="325" t="s">
        <v>315</v>
      </c>
      <c r="B45" s="325" t="s">
        <v>316</v>
      </c>
      <c r="C45" s="325" t="s">
        <v>317</v>
      </c>
      <c r="D45" s="325" t="s">
        <v>318</v>
      </c>
      <c r="E45" s="325" t="s">
        <v>322</v>
      </c>
      <c r="G45" s="71" t="s">
        <v>615</v>
      </c>
      <c r="H45" s="373">
        <f>D47*(D51+D52)*D54</f>
        <v>11239.8</v>
      </c>
    </row>
    <row r="46" spans="1:8" x14ac:dyDescent="0.35">
      <c r="A46" s="347" t="s">
        <v>388</v>
      </c>
      <c r="B46" s="348" t="s">
        <v>389</v>
      </c>
      <c r="C46" s="349" t="s">
        <v>390</v>
      </c>
      <c r="D46" s="355" t="s">
        <v>391</v>
      </c>
      <c r="E46" s="351"/>
      <c r="G46" s="71" t="s">
        <v>616</v>
      </c>
      <c r="H46" s="374">
        <f>H45*$D$430</f>
        <v>2023.1639999999998</v>
      </c>
    </row>
    <row r="47" spans="1:8" x14ac:dyDescent="0.35">
      <c r="A47" s="347" t="s">
        <v>392</v>
      </c>
      <c r="B47" s="348" t="s">
        <v>393</v>
      </c>
      <c r="C47" s="349" t="s">
        <v>394</v>
      </c>
      <c r="D47" s="355">
        <v>26</v>
      </c>
      <c r="E47" s="351"/>
    </row>
    <row r="48" spans="1:8" x14ac:dyDescent="0.35">
      <c r="A48" s="347" t="s">
        <v>395</v>
      </c>
      <c r="B48" s="348" t="s">
        <v>396</v>
      </c>
      <c r="C48" s="349" t="s">
        <v>397</v>
      </c>
      <c r="D48" s="355">
        <v>89.29</v>
      </c>
      <c r="E48" s="352" t="s">
        <v>398</v>
      </c>
    </row>
    <row r="49" spans="1:8" x14ac:dyDescent="0.35">
      <c r="A49" s="349" t="s">
        <v>399</v>
      </c>
      <c r="B49" s="348" t="s">
        <v>400</v>
      </c>
      <c r="C49" s="349" t="s">
        <v>20</v>
      </c>
      <c r="D49" s="350">
        <v>1</v>
      </c>
      <c r="E49" s="351"/>
    </row>
    <row r="50" spans="1:8" x14ac:dyDescent="0.35">
      <c r="A50" s="349" t="s">
        <v>401</v>
      </c>
      <c r="B50" s="348" t="s">
        <v>402</v>
      </c>
      <c r="C50" s="349" t="s">
        <v>403</v>
      </c>
      <c r="D50" s="350">
        <v>1000</v>
      </c>
      <c r="E50" s="351"/>
    </row>
    <row r="51" spans="1:8" x14ac:dyDescent="0.35">
      <c r="A51" s="347" t="s">
        <v>404</v>
      </c>
      <c r="B51" s="348" t="s">
        <v>405</v>
      </c>
      <c r="C51" s="349" t="s">
        <v>406</v>
      </c>
      <c r="D51" s="350">
        <v>0.1</v>
      </c>
      <c r="E51" s="351"/>
    </row>
    <row r="52" spans="1:8" ht="29" x14ac:dyDescent="0.35">
      <c r="A52" s="353" t="s">
        <v>407</v>
      </c>
      <c r="B52" s="354" t="s">
        <v>408</v>
      </c>
      <c r="C52" s="349" t="s">
        <v>406</v>
      </c>
      <c r="D52" s="350">
        <v>0.01</v>
      </c>
      <c r="E52" s="351"/>
    </row>
    <row r="53" spans="1:8" ht="29" x14ac:dyDescent="0.35">
      <c r="A53" s="349" t="s">
        <v>409</v>
      </c>
      <c r="B53" s="348" t="s">
        <v>410</v>
      </c>
      <c r="C53" s="349" t="s">
        <v>411</v>
      </c>
      <c r="D53" s="350">
        <v>0</v>
      </c>
      <c r="E53" s="351"/>
    </row>
    <row r="54" spans="1:8" ht="29" x14ac:dyDescent="0.35">
      <c r="A54" s="347" t="s">
        <v>412</v>
      </c>
      <c r="B54" s="348" t="s">
        <v>413</v>
      </c>
      <c r="C54" s="349" t="s">
        <v>414</v>
      </c>
      <c r="D54" s="350">
        <v>3930</v>
      </c>
      <c r="E54" s="351"/>
    </row>
    <row r="55" spans="1:8" ht="29" x14ac:dyDescent="0.35">
      <c r="A55" s="347" t="s">
        <v>415</v>
      </c>
      <c r="B55" s="348" t="s">
        <v>416</v>
      </c>
      <c r="C55" s="349" t="s">
        <v>414</v>
      </c>
      <c r="D55" s="350">
        <v>0</v>
      </c>
      <c r="E55" s="351"/>
    </row>
    <row r="56" spans="1:8" ht="43.5" x14ac:dyDescent="0.35">
      <c r="A56" s="349" t="s">
        <v>417</v>
      </c>
      <c r="B56" s="354" t="s">
        <v>418</v>
      </c>
      <c r="C56" s="349" t="s">
        <v>419</v>
      </c>
      <c r="D56" s="350">
        <v>4</v>
      </c>
      <c r="E56" s="351" t="s">
        <v>420</v>
      </c>
    </row>
    <row r="57" spans="1:8" x14ac:dyDescent="0.35">
      <c r="A57" s="349" t="s">
        <v>421</v>
      </c>
      <c r="B57" s="348" t="s">
        <v>422</v>
      </c>
      <c r="C57" s="349" t="s">
        <v>423</v>
      </c>
      <c r="D57" s="350">
        <v>10</v>
      </c>
      <c r="E57" s="352" t="s">
        <v>398</v>
      </c>
    </row>
    <row r="58" spans="1:8" ht="15" thickBot="1" x14ac:dyDescent="0.4"/>
    <row r="59" spans="1:8" ht="15" thickBot="1" x14ac:dyDescent="0.4">
      <c r="A59" s="411" t="s">
        <v>425</v>
      </c>
      <c r="B59" s="412"/>
      <c r="C59" s="412"/>
      <c r="D59" s="413"/>
    </row>
    <row r="60" spans="1:8" x14ac:dyDescent="0.35">
      <c r="A60" s="410" t="s">
        <v>386</v>
      </c>
      <c r="B60" s="410"/>
      <c r="C60" s="410"/>
      <c r="D60" s="410"/>
    </row>
    <row r="61" spans="1:8" x14ac:dyDescent="0.35">
      <c r="A61" s="325" t="s">
        <v>315</v>
      </c>
      <c r="B61" s="325" t="s">
        <v>316</v>
      </c>
      <c r="C61" s="325" t="s">
        <v>317</v>
      </c>
      <c r="D61" s="325" t="s">
        <v>318</v>
      </c>
      <c r="E61" s="325" t="s">
        <v>322</v>
      </c>
      <c r="G61" s="71" t="s">
        <v>615</v>
      </c>
      <c r="H61" s="373">
        <f>D63*(D67+D68)*D70</f>
        <v>12969</v>
      </c>
    </row>
    <row r="62" spans="1:8" x14ac:dyDescent="0.35">
      <c r="A62" s="347" t="s">
        <v>388</v>
      </c>
      <c r="B62" s="348" t="s">
        <v>389</v>
      </c>
      <c r="C62" s="349" t="s">
        <v>390</v>
      </c>
      <c r="D62" s="355" t="s">
        <v>391</v>
      </c>
      <c r="E62" s="351"/>
      <c r="G62" s="71" t="s">
        <v>616</v>
      </c>
      <c r="H62" s="374">
        <f>H61*$D$430</f>
        <v>2334.42</v>
      </c>
    </row>
    <row r="63" spans="1:8" x14ac:dyDescent="0.35">
      <c r="A63" s="347" t="s">
        <v>392</v>
      </c>
      <c r="B63" s="348" t="s">
        <v>393</v>
      </c>
      <c r="C63" s="349" t="s">
        <v>394</v>
      </c>
      <c r="D63" s="355">
        <v>30</v>
      </c>
      <c r="E63" s="351"/>
    </row>
    <row r="64" spans="1:8" x14ac:dyDescent="0.35">
      <c r="A64" s="347" t="s">
        <v>395</v>
      </c>
      <c r="B64" s="348" t="s">
        <v>396</v>
      </c>
      <c r="C64" s="349" t="s">
        <v>397</v>
      </c>
      <c r="D64" s="355">
        <v>89.29</v>
      </c>
      <c r="E64" s="352" t="s">
        <v>398</v>
      </c>
    </row>
    <row r="65" spans="1:8" x14ac:dyDescent="0.35">
      <c r="A65" s="349" t="s">
        <v>399</v>
      </c>
      <c r="B65" s="348" t="s">
        <v>400</v>
      </c>
      <c r="C65" s="349" t="s">
        <v>20</v>
      </c>
      <c r="D65" s="350">
        <v>1</v>
      </c>
      <c r="E65" s="351"/>
    </row>
    <row r="66" spans="1:8" x14ac:dyDescent="0.35">
      <c r="A66" s="349" t="s">
        <v>401</v>
      </c>
      <c r="B66" s="348" t="s">
        <v>402</v>
      </c>
      <c r="C66" s="349" t="s">
        <v>403</v>
      </c>
      <c r="D66" s="350">
        <v>1000</v>
      </c>
      <c r="E66" s="351"/>
    </row>
    <row r="67" spans="1:8" x14ac:dyDescent="0.35">
      <c r="A67" s="347" t="s">
        <v>404</v>
      </c>
      <c r="B67" s="348" t="s">
        <v>405</v>
      </c>
      <c r="C67" s="349" t="s">
        <v>406</v>
      </c>
      <c r="D67" s="350">
        <v>0.1</v>
      </c>
      <c r="E67" s="351"/>
    </row>
    <row r="68" spans="1:8" ht="29" x14ac:dyDescent="0.35">
      <c r="A68" s="353" t="s">
        <v>407</v>
      </c>
      <c r="B68" s="354" t="s">
        <v>408</v>
      </c>
      <c r="C68" s="349" t="s">
        <v>406</v>
      </c>
      <c r="D68" s="350">
        <v>0.01</v>
      </c>
      <c r="E68" s="351"/>
    </row>
    <row r="69" spans="1:8" ht="29" x14ac:dyDescent="0.35">
      <c r="A69" s="349" t="s">
        <v>409</v>
      </c>
      <c r="B69" s="348" t="s">
        <v>410</v>
      </c>
      <c r="C69" s="349" t="s">
        <v>411</v>
      </c>
      <c r="D69" s="350">
        <v>0</v>
      </c>
      <c r="E69" s="351"/>
    </row>
    <row r="70" spans="1:8" ht="29" x14ac:dyDescent="0.35">
      <c r="A70" s="347" t="s">
        <v>412</v>
      </c>
      <c r="B70" s="348" t="s">
        <v>413</v>
      </c>
      <c r="C70" s="349" t="s">
        <v>414</v>
      </c>
      <c r="D70" s="350">
        <v>3930</v>
      </c>
      <c r="E70" s="351"/>
    </row>
    <row r="71" spans="1:8" ht="29" x14ac:dyDescent="0.35">
      <c r="A71" s="347" t="s">
        <v>415</v>
      </c>
      <c r="B71" s="348" t="s">
        <v>416</v>
      </c>
      <c r="C71" s="349" t="s">
        <v>414</v>
      </c>
      <c r="D71" s="350">
        <v>0</v>
      </c>
      <c r="E71" s="351"/>
    </row>
    <row r="72" spans="1:8" ht="43.5" x14ac:dyDescent="0.35">
      <c r="A72" s="349" t="s">
        <v>417</v>
      </c>
      <c r="B72" s="354" t="s">
        <v>418</v>
      </c>
      <c r="C72" s="349" t="s">
        <v>419</v>
      </c>
      <c r="D72" s="350">
        <v>4</v>
      </c>
      <c r="E72" s="351" t="s">
        <v>420</v>
      </c>
    </row>
    <row r="73" spans="1:8" x14ac:dyDescent="0.35">
      <c r="A73" s="349" t="s">
        <v>421</v>
      </c>
      <c r="B73" s="348" t="s">
        <v>422</v>
      </c>
      <c r="C73" s="349" t="s">
        <v>423</v>
      </c>
      <c r="D73" s="350">
        <v>10</v>
      </c>
      <c r="E73" s="352" t="s">
        <v>398</v>
      </c>
    </row>
    <row r="75" spans="1:8" ht="15" thickBot="1" x14ac:dyDescent="0.4"/>
    <row r="76" spans="1:8" ht="15" thickBot="1" x14ac:dyDescent="0.4">
      <c r="A76" s="411" t="s">
        <v>426</v>
      </c>
      <c r="B76" s="412"/>
      <c r="C76" s="412"/>
      <c r="D76" s="413"/>
    </row>
    <row r="77" spans="1:8" x14ac:dyDescent="0.35">
      <c r="A77" s="410" t="s">
        <v>386</v>
      </c>
      <c r="B77" s="410"/>
      <c r="C77" s="410"/>
      <c r="D77" s="410"/>
    </row>
    <row r="78" spans="1:8" x14ac:dyDescent="0.35">
      <c r="A78" s="325" t="s">
        <v>315</v>
      </c>
      <c r="B78" s="325" t="s">
        <v>316</v>
      </c>
      <c r="C78" s="325" t="s">
        <v>317</v>
      </c>
      <c r="D78" s="325" t="s">
        <v>318</v>
      </c>
      <c r="E78" s="325" t="s">
        <v>322</v>
      </c>
      <c r="G78" s="71" t="s">
        <v>615</v>
      </c>
      <c r="H78" s="373">
        <f>D80*(D84+D85)*D87</f>
        <v>3890.6999999999994</v>
      </c>
    </row>
    <row r="79" spans="1:8" x14ac:dyDescent="0.35">
      <c r="A79" s="347" t="s">
        <v>388</v>
      </c>
      <c r="B79" s="348" t="s">
        <v>389</v>
      </c>
      <c r="C79" s="349" t="s">
        <v>390</v>
      </c>
      <c r="D79" s="350" t="s">
        <v>391</v>
      </c>
      <c r="E79" s="351"/>
      <c r="G79" s="71" t="s">
        <v>616</v>
      </c>
      <c r="H79" s="374">
        <f>H78*$D$430</f>
        <v>700.32599999999991</v>
      </c>
    </row>
    <row r="80" spans="1:8" x14ac:dyDescent="0.35">
      <c r="A80" s="347" t="s">
        <v>392</v>
      </c>
      <c r="B80" s="348" t="s">
        <v>393</v>
      </c>
      <c r="C80" s="349" t="s">
        <v>394</v>
      </c>
      <c r="D80" s="350">
        <v>6</v>
      </c>
      <c r="E80" s="351"/>
    </row>
    <row r="81" spans="1:8" x14ac:dyDescent="0.35">
      <c r="A81" s="347" t="s">
        <v>395</v>
      </c>
      <c r="B81" s="348" t="s">
        <v>396</v>
      </c>
      <c r="C81" s="349" t="s">
        <v>397</v>
      </c>
      <c r="D81" s="350">
        <v>67.180000000000007</v>
      </c>
      <c r="E81" s="352" t="s">
        <v>398</v>
      </c>
    </row>
    <row r="82" spans="1:8" x14ac:dyDescent="0.35">
      <c r="A82" s="349" t="s">
        <v>399</v>
      </c>
      <c r="B82" s="348" t="s">
        <v>400</v>
      </c>
      <c r="C82" s="349" t="s">
        <v>20</v>
      </c>
      <c r="D82" s="350">
        <v>1</v>
      </c>
      <c r="E82" s="351"/>
    </row>
    <row r="83" spans="1:8" x14ac:dyDescent="0.35">
      <c r="A83" s="349" t="s">
        <v>401</v>
      </c>
      <c r="B83" s="348" t="s">
        <v>402</v>
      </c>
      <c r="C83" s="349" t="s">
        <v>403</v>
      </c>
      <c r="D83" s="350">
        <v>1000</v>
      </c>
      <c r="E83" s="351"/>
    </row>
    <row r="84" spans="1:8" x14ac:dyDescent="0.35">
      <c r="A84" s="347" t="s">
        <v>404</v>
      </c>
      <c r="B84" s="348" t="s">
        <v>405</v>
      </c>
      <c r="C84" s="349" t="s">
        <v>406</v>
      </c>
      <c r="D84" s="350">
        <v>0.15</v>
      </c>
      <c r="E84" s="351"/>
    </row>
    <row r="85" spans="1:8" ht="29" x14ac:dyDescent="0.35">
      <c r="A85" s="353" t="s">
        <v>407</v>
      </c>
      <c r="B85" s="354" t="s">
        <v>408</v>
      </c>
      <c r="C85" s="349" t="s">
        <v>406</v>
      </c>
      <c r="D85" s="350">
        <v>1.4999999999999999E-2</v>
      </c>
      <c r="E85" s="351"/>
    </row>
    <row r="86" spans="1:8" ht="29" x14ac:dyDescent="0.35">
      <c r="A86" s="349" t="s">
        <v>409</v>
      </c>
      <c r="B86" s="348" t="s">
        <v>410</v>
      </c>
      <c r="C86" s="349" t="s">
        <v>411</v>
      </c>
      <c r="D86" s="350">
        <v>0</v>
      </c>
      <c r="E86" s="351"/>
    </row>
    <row r="87" spans="1:8" ht="29" x14ac:dyDescent="0.35">
      <c r="A87" s="347" t="s">
        <v>412</v>
      </c>
      <c r="B87" s="348" t="s">
        <v>413</v>
      </c>
      <c r="C87" s="349" t="s">
        <v>414</v>
      </c>
      <c r="D87" s="350">
        <v>3930</v>
      </c>
      <c r="E87" s="351"/>
    </row>
    <row r="88" spans="1:8" ht="29" x14ac:dyDescent="0.35">
      <c r="A88" s="347" t="s">
        <v>415</v>
      </c>
      <c r="B88" s="348" t="s">
        <v>416</v>
      </c>
      <c r="C88" s="349" t="s">
        <v>414</v>
      </c>
      <c r="D88" s="350">
        <v>0</v>
      </c>
      <c r="E88" s="351"/>
    </row>
    <row r="89" spans="1:8" ht="43.5" x14ac:dyDescent="0.35">
      <c r="A89" s="349" t="s">
        <v>417</v>
      </c>
      <c r="B89" s="354" t="s">
        <v>418</v>
      </c>
      <c r="C89" s="349" t="s">
        <v>419</v>
      </c>
      <c r="D89" s="350">
        <v>4</v>
      </c>
      <c r="E89" s="351" t="s">
        <v>420</v>
      </c>
    </row>
    <row r="90" spans="1:8" x14ac:dyDescent="0.35">
      <c r="A90" s="349" t="s">
        <v>421</v>
      </c>
      <c r="B90" s="348" t="s">
        <v>422</v>
      </c>
      <c r="C90" s="349" t="s">
        <v>423</v>
      </c>
      <c r="D90" s="350">
        <v>10</v>
      </c>
      <c r="E90" s="352" t="s">
        <v>398</v>
      </c>
    </row>
    <row r="91" spans="1:8" ht="15" thickBot="1" x14ac:dyDescent="0.4"/>
    <row r="92" spans="1:8" ht="15" thickBot="1" x14ac:dyDescent="0.4">
      <c r="A92" s="411" t="s">
        <v>427</v>
      </c>
      <c r="B92" s="412"/>
      <c r="C92" s="412"/>
      <c r="D92" s="413"/>
    </row>
    <row r="93" spans="1:8" x14ac:dyDescent="0.35">
      <c r="A93" s="410" t="s">
        <v>386</v>
      </c>
      <c r="B93" s="410"/>
      <c r="C93" s="410"/>
      <c r="D93" s="410"/>
    </row>
    <row r="94" spans="1:8" x14ac:dyDescent="0.35">
      <c r="A94" s="325" t="s">
        <v>315</v>
      </c>
      <c r="B94" s="325" t="s">
        <v>316</v>
      </c>
      <c r="C94" s="325" t="s">
        <v>317</v>
      </c>
      <c r="D94" s="325" t="s">
        <v>318</v>
      </c>
      <c r="E94" s="325" t="s">
        <v>322</v>
      </c>
      <c r="G94" s="71" t="s">
        <v>615</v>
      </c>
      <c r="H94" s="373">
        <f>D96*(D100+D101)*D103</f>
        <v>8646</v>
      </c>
    </row>
    <row r="95" spans="1:8" x14ac:dyDescent="0.35">
      <c r="A95" s="347" t="s">
        <v>388</v>
      </c>
      <c r="B95" s="348" t="s">
        <v>389</v>
      </c>
      <c r="C95" s="349" t="s">
        <v>390</v>
      </c>
      <c r="D95" s="350" t="s">
        <v>391</v>
      </c>
      <c r="E95" s="351"/>
      <c r="G95" s="71" t="s">
        <v>616</v>
      </c>
      <c r="H95" s="374">
        <f>H94*$D$430</f>
        <v>1556.28</v>
      </c>
    </row>
    <row r="96" spans="1:8" x14ac:dyDescent="0.35">
      <c r="A96" s="347" t="s">
        <v>392</v>
      </c>
      <c r="B96" s="348" t="s">
        <v>393</v>
      </c>
      <c r="C96" s="349" t="s">
        <v>394</v>
      </c>
      <c r="D96" s="350">
        <v>8</v>
      </c>
      <c r="E96" s="351"/>
    </row>
    <row r="97" spans="1:8" x14ac:dyDescent="0.35">
      <c r="A97" s="347" t="s">
        <v>395</v>
      </c>
      <c r="B97" s="348" t="s">
        <v>396</v>
      </c>
      <c r="C97" s="349" t="s">
        <v>397</v>
      </c>
      <c r="D97" s="350">
        <v>54.83</v>
      </c>
      <c r="E97" s="352" t="s">
        <v>398</v>
      </c>
    </row>
    <row r="98" spans="1:8" x14ac:dyDescent="0.35">
      <c r="A98" s="349" t="s">
        <v>399</v>
      </c>
      <c r="B98" s="348" t="s">
        <v>400</v>
      </c>
      <c r="C98" s="349" t="s">
        <v>20</v>
      </c>
      <c r="D98" s="350">
        <v>1</v>
      </c>
      <c r="E98" s="351"/>
    </row>
    <row r="99" spans="1:8" x14ac:dyDescent="0.35">
      <c r="A99" s="349" t="s">
        <v>401</v>
      </c>
      <c r="B99" s="348" t="s">
        <v>402</v>
      </c>
      <c r="C99" s="349" t="s">
        <v>403</v>
      </c>
      <c r="D99" s="350">
        <v>1000</v>
      </c>
      <c r="E99" s="351"/>
    </row>
    <row r="100" spans="1:8" x14ac:dyDescent="0.35">
      <c r="A100" s="347" t="s">
        <v>404</v>
      </c>
      <c r="B100" s="348" t="s">
        <v>405</v>
      </c>
      <c r="C100" s="349" t="s">
        <v>406</v>
      </c>
      <c r="D100" s="350">
        <v>0.25</v>
      </c>
      <c r="E100" s="351"/>
    </row>
    <row r="101" spans="1:8" ht="29" x14ac:dyDescent="0.35">
      <c r="A101" s="353" t="s">
        <v>407</v>
      </c>
      <c r="B101" s="354" t="s">
        <v>408</v>
      </c>
      <c r="C101" s="349" t="s">
        <v>406</v>
      </c>
      <c r="D101" s="350">
        <v>2.5000000000000001E-2</v>
      </c>
      <c r="E101" s="351"/>
    </row>
    <row r="102" spans="1:8" ht="29" x14ac:dyDescent="0.35">
      <c r="A102" s="349" t="s">
        <v>409</v>
      </c>
      <c r="B102" s="348" t="s">
        <v>410</v>
      </c>
      <c r="C102" s="349" t="s">
        <v>411</v>
      </c>
      <c r="D102" s="350">
        <v>0</v>
      </c>
      <c r="E102" s="351"/>
    </row>
    <row r="103" spans="1:8" ht="29" x14ac:dyDescent="0.35">
      <c r="A103" s="347" t="s">
        <v>412</v>
      </c>
      <c r="B103" s="348" t="s">
        <v>413</v>
      </c>
      <c r="C103" s="349" t="s">
        <v>414</v>
      </c>
      <c r="D103" s="350">
        <v>3930</v>
      </c>
      <c r="E103" s="351"/>
    </row>
    <row r="104" spans="1:8" ht="29" x14ac:dyDescent="0.35">
      <c r="A104" s="347" t="s">
        <v>415</v>
      </c>
      <c r="B104" s="348" t="s">
        <v>416</v>
      </c>
      <c r="C104" s="349" t="s">
        <v>414</v>
      </c>
      <c r="D104" s="350">
        <v>0</v>
      </c>
      <c r="E104" s="351"/>
    </row>
    <row r="105" spans="1:8" ht="43.5" x14ac:dyDescent="0.35">
      <c r="A105" s="349" t="s">
        <v>417</v>
      </c>
      <c r="B105" s="354" t="s">
        <v>418</v>
      </c>
      <c r="C105" s="349" t="s">
        <v>419</v>
      </c>
      <c r="D105" s="350">
        <v>4</v>
      </c>
      <c r="E105" s="351" t="s">
        <v>420</v>
      </c>
    </row>
    <row r="106" spans="1:8" x14ac:dyDescent="0.35">
      <c r="A106" s="349" t="s">
        <v>421</v>
      </c>
      <c r="B106" s="348" t="s">
        <v>422</v>
      </c>
      <c r="C106" s="349" t="s">
        <v>423</v>
      </c>
      <c r="D106" s="350">
        <v>10</v>
      </c>
      <c r="E106" s="352" t="s">
        <v>398</v>
      </c>
    </row>
    <row r="107" spans="1:8" ht="15" thickBot="1" x14ac:dyDescent="0.4"/>
    <row r="108" spans="1:8" ht="15" thickBot="1" x14ac:dyDescent="0.4">
      <c r="A108" s="411" t="s">
        <v>428</v>
      </c>
      <c r="B108" s="412"/>
      <c r="C108" s="412"/>
      <c r="D108" s="413"/>
    </row>
    <row r="109" spans="1:8" x14ac:dyDescent="0.35">
      <c r="A109" s="410" t="s">
        <v>386</v>
      </c>
      <c r="B109" s="410"/>
      <c r="C109" s="410"/>
      <c r="D109" s="410"/>
    </row>
    <row r="110" spans="1:8" x14ac:dyDescent="0.35">
      <c r="A110" s="325" t="s">
        <v>315</v>
      </c>
      <c r="B110" s="325" t="s">
        <v>316</v>
      </c>
      <c r="C110" s="325" t="s">
        <v>317</v>
      </c>
      <c r="D110" s="325" t="s">
        <v>318</v>
      </c>
      <c r="E110" s="325" t="s">
        <v>322</v>
      </c>
      <c r="G110" s="71" t="s">
        <v>615</v>
      </c>
      <c r="H110" s="373">
        <f>D112*(D116+D117)*D119</f>
        <v>2161.5</v>
      </c>
    </row>
    <row r="111" spans="1:8" x14ac:dyDescent="0.35">
      <c r="A111" s="347" t="s">
        <v>388</v>
      </c>
      <c r="B111" s="348" t="s">
        <v>389</v>
      </c>
      <c r="C111" s="349" t="s">
        <v>390</v>
      </c>
      <c r="D111" s="350" t="s">
        <v>391</v>
      </c>
      <c r="E111" s="351"/>
      <c r="G111" s="71" t="s">
        <v>616</v>
      </c>
      <c r="H111" s="374">
        <f>H110*$D$430</f>
        <v>389.07</v>
      </c>
    </row>
    <row r="112" spans="1:8" x14ac:dyDescent="0.35">
      <c r="A112" s="347" t="s">
        <v>392</v>
      </c>
      <c r="B112" s="348" t="s">
        <v>393</v>
      </c>
      <c r="C112" s="349" t="s">
        <v>394</v>
      </c>
      <c r="D112" s="350">
        <v>2</v>
      </c>
      <c r="E112" s="351"/>
    </row>
    <row r="113" spans="1:8" x14ac:dyDescent="0.35">
      <c r="A113" s="347" t="s">
        <v>395</v>
      </c>
      <c r="B113" s="348" t="s">
        <v>396</v>
      </c>
      <c r="C113" s="349" t="s">
        <v>397</v>
      </c>
      <c r="D113" s="350">
        <v>54.83</v>
      </c>
      <c r="E113" s="352" t="s">
        <v>398</v>
      </c>
    </row>
    <row r="114" spans="1:8" x14ac:dyDescent="0.35">
      <c r="A114" s="349" t="s">
        <v>399</v>
      </c>
      <c r="B114" s="348" t="s">
        <v>400</v>
      </c>
      <c r="C114" s="349" t="s">
        <v>20</v>
      </c>
      <c r="D114" s="350">
        <v>1</v>
      </c>
      <c r="E114" s="351"/>
    </row>
    <row r="115" spans="1:8" x14ac:dyDescent="0.35">
      <c r="A115" s="349" t="s">
        <v>401</v>
      </c>
      <c r="B115" s="348" t="s">
        <v>402</v>
      </c>
      <c r="C115" s="349" t="s">
        <v>403</v>
      </c>
      <c r="D115" s="350">
        <v>1000</v>
      </c>
      <c r="E115" s="351"/>
    </row>
    <row r="116" spans="1:8" x14ac:dyDescent="0.35">
      <c r="A116" s="347" t="s">
        <v>404</v>
      </c>
      <c r="B116" s="348" t="s">
        <v>405</v>
      </c>
      <c r="C116" s="349" t="s">
        <v>406</v>
      </c>
      <c r="D116" s="350">
        <v>0.25</v>
      </c>
      <c r="E116" s="351"/>
    </row>
    <row r="117" spans="1:8" ht="29" x14ac:dyDescent="0.35">
      <c r="A117" s="353" t="s">
        <v>407</v>
      </c>
      <c r="B117" s="354" t="s">
        <v>408</v>
      </c>
      <c r="C117" s="349" t="s">
        <v>406</v>
      </c>
      <c r="D117" s="350">
        <v>2.5000000000000001E-2</v>
      </c>
      <c r="E117" s="351"/>
    </row>
    <row r="118" spans="1:8" ht="29" x14ac:dyDescent="0.35">
      <c r="A118" s="349" t="s">
        <v>409</v>
      </c>
      <c r="B118" s="348" t="s">
        <v>410</v>
      </c>
      <c r="C118" s="349" t="s">
        <v>411</v>
      </c>
      <c r="D118" s="350">
        <v>0</v>
      </c>
      <c r="E118" s="351"/>
    </row>
    <row r="119" spans="1:8" ht="29" x14ac:dyDescent="0.35">
      <c r="A119" s="347" t="s">
        <v>412</v>
      </c>
      <c r="B119" s="348" t="s">
        <v>413</v>
      </c>
      <c r="C119" s="349" t="s">
        <v>414</v>
      </c>
      <c r="D119" s="350">
        <v>3930</v>
      </c>
      <c r="E119" s="351"/>
    </row>
    <row r="120" spans="1:8" ht="29" x14ac:dyDescent="0.35">
      <c r="A120" s="347" t="s">
        <v>415</v>
      </c>
      <c r="B120" s="348" t="s">
        <v>416</v>
      </c>
      <c r="C120" s="349" t="s">
        <v>414</v>
      </c>
      <c r="D120" s="350">
        <v>0</v>
      </c>
      <c r="E120" s="351"/>
    </row>
    <row r="121" spans="1:8" ht="43.5" x14ac:dyDescent="0.35">
      <c r="A121" s="349" t="s">
        <v>417</v>
      </c>
      <c r="B121" s="354" t="s">
        <v>418</v>
      </c>
      <c r="C121" s="349" t="s">
        <v>419</v>
      </c>
      <c r="D121" s="350">
        <v>4</v>
      </c>
      <c r="E121" s="351" t="s">
        <v>420</v>
      </c>
    </row>
    <row r="122" spans="1:8" x14ac:dyDescent="0.35">
      <c r="A122" s="349" t="s">
        <v>421</v>
      </c>
      <c r="B122" s="348" t="s">
        <v>422</v>
      </c>
      <c r="C122" s="349" t="s">
        <v>423</v>
      </c>
      <c r="D122" s="350">
        <v>10</v>
      </c>
      <c r="E122" s="352" t="s">
        <v>398</v>
      </c>
    </row>
    <row r="123" spans="1:8" ht="15" thickBot="1" x14ac:dyDescent="0.4">
      <c r="A123" s="349"/>
      <c r="B123" s="348"/>
      <c r="C123" s="349"/>
      <c r="D123" s="351"/>
    </row>
    <row r="124" spans="1:8" ht="15" thickBot="1" x14ac:dyDescent="0.4">
      <c r="A124" s="411" t="s">
        <v>429</v>
      </c>
      <c r="B124" s="412"/>
      <c r="C124" s="412"/>
      <c r="D124" s="413"/>
    </row>
    <row r="125" spans="1:8" x14ac:dyDescent="0.35">
      <c r="A125" s="410" t="s">
        <v>386</v>
      </c>
      <c r="B125" s="410"/>
      <c r="C125" s="410"/>
      <c r="D125" s="410"/>
    </row>
    <row r="126" spans="1:8" x14ac:dyDescent="0.35">
      <c r="A126" s="325" t="s">
        <v>315</v>
      </c>
      <c r="B126" s="325" t="s">
        <v>316</v>
      </c>
      <c r="C126" s="325" t="s">
        <v>317</v>
      </c>
      <c r="D126" s="325" t="s">
        <v>318</v>
      </c>
      <c r="E126" s="325" t="s">
        <v>322</v>
      </c>
      <c r="G126" s="71" t="s">
        <v>615</v>
      </c>
      <c r="H126" s="373">
        <f>D128*(D132+D133)*D135</f>
        <v>2593.8000000000002</v>
      </c>
    </row>
    <row r="127" spans="1:8" x14ac:dyDescent="0.35">
      <c r="A127" s="347" t="s">
        <v>388</v>
      </c>
      <c r="B127" s="348" t="s">
        <v>389</v>
      </c>
      <c r="C127" s="349" t="s">
        <v>390</v>
      </c>
      <c r="D127" s="350" t="s">
        <v>391</v>
      </c>
      <c r="E127" s="351"/>
      <c r="G127" s="71" t="s">
        <v>616</v>
      </c>
      <c r="H127" s="374">
        <f>H126*$D$430</f>
        <v>466.88400000000001</v>
      </c>
    </row>
    <row r="128" spans="1:8" x14ac:dyDescent="0.35">
      <c r="A128" s="347" t="s">
        <v>392</v>
      </c>
      <c r="B128" s="348" t="s">
        <v>393</v>
      </c>
      <c r="C128" s="349" t="s">
        <v>394</v>
      </c>
      <c r="D128" s="350">
        <v>6</v>
      </c>
      <c r="E128" s="351"/>
      <c r="G128" s="71"/>
      <c r="H128" s="374"/>
    </row>
    <row r="129" spans="1:8" x14ac:dyDescent="0.35">
      <c r="A129" s="347" t="s">
        <v>395</v>
      </c>
      <c r="B129" s="348" t="s">
        <v>396</v>
      </c>
      <c r="C129" s="349" t="s">
        <v>397</v>
      </c>
      <c r="D129" s="350">
        <v>89.28</v>
      </c>
      <c r="E129" s="352" t="s">
        <v>398</v>
      </c>
    </row>
    <row r="130" spans="1:8" x14ac:dyDescent="0.35">
      <c r="A130" s="349" t="s">
        <v>399</v>
      </c>
      <c r="B130" s="348" t="s">
        <v>400</v>
      </c>
      <c r="C130" s="349" t="s">
        <v>20</v>
      </c>
      <c r="D130" s="350">
        <v>1</v>
      </c>
      <c r="E130" s="351"/>
    </row>
    <row r="131" spans="1:8" x14ac:dyDescent="0.35">
      <c r="A131" s="349" t="s">
        <v>401</v>
      </c>
      <c r="B131" s="348" t="s">
        <v>402</v>
      </c>
      <c r="C131" s="349" t="s">
        <v>403</v>
      </c>
      <c r="D131" s="350">
        <v>1000</v>
      </c>
      <c r="E131" s="351"/>
    </row>
    <row r="132" spans="1:8" x14ac:dyDescent="0.35">
      <c r="A132" s="347" t="s">
        <v>404</v>
      </c>
      <c r="B132" s="348" t="s">
        <v>405</v>
      </c>
      <c r="C132" s="349" t="s">
        <v>406</v>
      </c>
      <c r="D132" s="350">
        <v>0.1</v>
      </c>
      <c r="E132" s="351"/>
    </row>
    <row r="133" spans="1:8" ht="29" x14ac:dyDescent="0.35">
      <c r="A133" s="353" t="s">
        <v>407</v>
      </c>
      <c r="B133" s="354" t="s">
        <v>408</v>
      </c>
      <c r="C133" s="349" t="s">
        <v>406</v>
      </c>
      <c r="D133" s="350">
        <v>0.01</v>
      </c>
      <c r="E133" s="351"/>
    </row>
    <row r="134" spans="1:8" ht="29" x14ac:dyDescent="0.35">
      <c r="A134" s="349" t="s">
        <v>409</v>
      </c>
      <c r="B134" s="348" t="s">
        <v>410</v>
      </c>
      <c r="C134" s="349" t="s">
        <v>411</v>
      </c>
      <c r="D134" s="350">
        <v>0</v>
      </c>
      <c r="E134" s="351"/>
    </row>
    <row r="135" spans="1:8" ht="29" x14ac:dyDescent="0.35">
      <c r="A135" s="347" t="s">
        <v>412</v>
      </c>
      <c r="B135" s="348" t="s">
        <v>413</v>
      </c>
      <c r="C135" s="349" t="s">
        <v>414</v>
      </c>
      <c r="D135" s="350">
        <v>3930</v>
      </c>
      <c r="E135" s="351"/>
    </row>
    <row r="136" spans="1:8" ht="29" x14ac:dyDescent="0.35">
      <c r="A136" s="347" t="s">
        <v>415</v>
      </c>
      <c r="B136" s="348" t="s">
        <v>416</v>
      </c>
      <c r="C136" s="349" t="s">
        <v>414</v>
      </c>
      <c r="D136" s="350">
        <v>0</v>
      </c>
      <c r="E136" s="351"/>
    </row>
    <row r="137" spans="1:8" ht="43.5" x14ac:dyDescent="0.35">
      <c r="A137" s="349" t="s">
        <v>417</v>
      </c>
      <c r="B137" s="354" t="s">
        <v>418</v>
      </c>
      <c r="C137" s="349" t="s">
        <v>419</v>
      </c>
      <c r="D137" s="350">
        <v>4</v>
      </c>
      <c r="E137" s="351" t="s">
        <v>420</v>
      </c>
    </row>
    <row r="138" spans="1:8" x14ac:dyDescent="0.35">
      <c r="A138" s="349" t="s">
        <v>421</v>
      </c>
      <c r="B138" s="348" t="s">
        <v>422</v>
      </c>
      <c r="C138" s="349" t="s">
        <v>423</v>
      </c>
      <c r="D138" s="350">
        <v>10</v>
      </c>
      <c r="E138" s="352" t="s">
        <v>398</v>
      </c>
    </row>
    <row r="139" spans="1:8" x14ac:dyDescent="0.35">
      <c r="A139" s="349"/>
      <c r="B139" s="348"/>
      <c r="C139" s="349"/>
      <c r="D139" s="351"/>
    </row>
    <row r="140" spans="1:8" ht="15" thickBot="1" x14ac:dyDescent="0.4">
      <c r="A140" s="349"/>
      <c r="B140" s="348"/>
      <c r="C140" s="349"/>
      <c r="D140" s="351"/>
    </row>
    <row r="141" spans="1:8" ht="15" thickBot="1" x14ac:dyDescent="0.4">
      <c r="A141" s="411" t="s">
        <v>430</v>
      </c>
      <c r="B141" s="412"/>
      <c r="C141" s="412"/>
      <c r="D141" s="413"/>
    </row>
    <row r="142" spans="1:8" x14ac:dyDescent="0.35">
      <c r="A142" s="410" t="s">
        <v>386</v>
      </c>
      <c r="B142" s="410"/>
      <c r="C142" s="410"/>
      <c r="D142" s="410"/>
    </row>
    <row r="143" spans="1:8" x14ac:dyDescent="0.35">
      <c r="A143" s="325" t="s">
        <v>315</v>
      </c>
      <c r="B143" s="325" t="s">
        <v>316</v>
      </c>
      <c r="C143" s="325" t="s">
        <v>317</v>
      </c>
      <c r="D143" s="325" t="s">
        <v>318</v>
      </c>
      <c r="E143" s="325" t="s">
        <v>322</v>
      </c>
      <c r="G143" s="71" t="s">
        <v>615</v>
      </c>
      <c r="H143" s="373">
        <f>D145*(D149+D150)*D152</f>
        <v>1945.3499999999997</v>
      </c>
    </row>
    <row r="144" spans="1:8" x14ac:dyDescent="0.35">
      <c r="A144" s="347" t="s">
        <v>388</v>
      </c>
      <c r="B144" s="348" t="s">
        <v>389</v>
      </c>
      <c r="C144" s="349" t="s">
        <v>390</v>
      </c>
      <c r="D144" s="350" t="s">
        <v>391</v>
      </c>
      <c r="E144" s="351"/>
      <c r="G144" s="71" t="s">
        <v>616</v>
      </c>
      <c r="H144" s="374">
        <f>H143*$D$430</f>
        <v>350.16299999999995</v>
      </c>
    </row>
    <row r="145" spans="1:8" x14ac:dyDescent="0.35">
      <c r="A145" s="347" t="s">
        <v>392</v>
      </c>
      <c r="B145" s="348" t="s">
        <v>393</v>
      </c>
      <c r="C145" s="349" t="s">
        <v>394</v>
      </c>
      <c r="D145" s="350">
        <v>3</v>
      </c>
      <c r="E145" s="351"/>
    </row>
    <row r="146" spans="1:8" x14ac:dyDescent="0.35">
      <c r="A146" s="347" t="s">
        <v>395</v>
      </c>
      <c r="B146" s="348" t="s">
        <v>396</v>
      </c>
      <c r="C146" s="349" t="s">
        <v>397</v>
      </c>
      <c r="D146" s="350">
        <v>67.180000000000007</v>
      </c>
      <c r="E146" s="352" t="s">
        <v>398</v>
      </c>
    </row>
    <row r="147" spans="1:8" x14ac:dyDescent="0.35">
      <c r="A147" s="349" t="s">
        <v>399</v>
      </c>
      <c r="B147" s="348" t="s">
        <v>400</v>
      </c>
      <c r="C147" s="349" t="s">
        <v>20</v>
      </c>
      <c r="D147" s="350">
        <v>1</v>
      </c>
      <c r="E147" s="351"/>
    </row>
    <row r="148" spans="1:8" x14ac:dyDescent="0.35">
      <c r="A148" s="349" t="s">
        <v>401</v>
      </c>
      <c r="B148" s="348" t="s">
        <v>402</v>
      </c>
      <c r="C148" s="349" t="s">
        <v>403</v>
      </c>
      <c r="D148" s="350">
        <v>1000</v>
      </c>
      <c r="E148" s="351"/>
    </row>
    <row r="149" spans="1:8" x14ac:dyDescent="0.35">
      <c r="A149" s="347" t="s">
        <v>404</v>
      </c>
      <c r="B149" s="348" t="s">
        <v>405</v>
      </c>
      <c r="C149" s="349" t="s">
        <v>406</v>
      </c>
      <c r="D149" s="350">
        <v>0.15</v>
      </c>
      <c r="E149" s="351"/>
    </row>
    <row r="150" spans="1:8" ht="29" x14ac:dyDescent="0.35">
      <c r="A150" s="353" t="s">
        <v>407</v>
      </c>
      <c r="B150" s="354" t="s">
        <v>408</v>
      </c>
      <c r="C150" s="349" t="s">
        <v>406</v>
      </c>
      <c r="D150" s="350">
        <v>1.4999999999999999E-2</v>
      </c>
      <c r="E150" s="351"/>
    </row>
    <row r="151" spans="1:8" ht="29" x14ac:dyDescent="0.35">
      <c r="A151" s="349" t="s">
        <v>409</v>
      </c>
      <c r="B151" s="348" t="s">
        <v>410</v>
      </c>
      <c r="C151" s="349" t="s">
        <v>411</v>
      </c>
      <c r="D151" s="350">
        <v>0</v>
      </c>
      <c r="E151" s="351"/>
    </row>
    <row r="152" spans="1:8" ht="29" x14ac:dyDescent="0.35">
      <c r="A152" s="347" t="s">
        <v>412</v>
      </c>
      <c r="B152" s="348" t="s">
        <v>413</v>
      </c>
      <c r="C152" s="349" t="s">
        <v>414</v>
      </c>
      <c r="D152" s="350">
        <v>3930</v>
      </c>
      <c r="E152" s="351"/>
    </row>
    <row r="153" spans="1:8" ht="29" x14ac:dyDescent="0.35">
      <c r="A153" s="347" t="s">
        <v>415</v>
      </c>
      <c r="B153" s="348" t="s">
        <v>416</v>
      </c>
      <c r="C153" s="349" t="s">
        <v>414</v>
      </c>
      <c r="D153" s="350">
        <v>0</v>
      </c>
      <c r="E153" s="351"/>
    </row>
    <row r="154" spans="1:8" ht="43.5" x14ac:dyDescent="0.35">
      <c r="A154" s="349" t="s">
        <v>417</v>
      </c>
      <c r="B154" s="354" t="s">
        <v>418</v>
      </c>
      <c r="C154" s="349" t="s">
        <v>419</v>
      </c>
      <c r="D154" s="350">
        <v>4</v>
      </c>
      <c r="E154" s="351" t="s">
        <v>420</v>
      </c>
    </row>
    <row r="155" spans="1:8" ht="26.15" customHeight="1" x14ac:dyDescent="0.35">
      <c r="A155" s="349" t="s">
        <v>421</v>
      </c>
      <c r="B155" s="348" t="s">
        <v>422</v>
      </c>
      <c r="C155" s="349" t="s">
        <v>423</v>
      </c>
      <c r="D155" s="350">
        <v>10</v>
      </c>
      <c r="E155" s="352" t="s">
        <v>398</v>
      </c>
    </row>
    <row r="156" spans="1:8" ht="22" customHeight="1" thickBot="1" x14ac:dyDescent="0.4"/>
    <row r="157" spans="1:8" ht="22" customHeight="1" thickBot="1" x14ac:dyDescent="0.4">
      <c r="A157" s="411" t="s">
        <v>431</v>
      </c>
      <c r="B157" s="412"/>
      <c r="C157" s="412"/>
      <c r="D157" s="413"/>
    </row>
    <row r="158" spans="1:8" ht="22" customHeight="1" x14ac:dyDescent="0.35">
      <c r="A158" s="410" t="s">
        <v>386</v>
      </c>
      <c r="B158" s="410"/>
      <c r="C158" s="410"/>
      <c r="D158" s="410"/>
    </row>
    <row r="159" spans="1:8" ht="22" customHeight="1" x14ac:dyDescent="0.35">
      <c r="A159" s="325" t="s">
        <v>315</v>
      </c>
      <c r="B159" s="325" t="s">
        <v>316</v>
      </c>
      <c r="C159" s="325" t="s">
        <v>317</v>
      </c>
      <c r="D159" s="325" t="s">
        <v>318</v>
      </c>
      <c r="E159" s="325" t="s">
        <v>322</v>
      </c>
      <c r="G159" s="71" t="s">
        <v>615</v>
      </c>
      <c r="H159" s="373">
        <f>D161*(D165+D166)*D168</f>
        <v>2593.7999999999997</v>
      </c>
    </row>
    <row r="160" spans="1:8" ht="22" customHeight="1" x14ac:dyDescent="0.35">
      <c r="A160" s="347" t="s">
        <v>388</v>
      </c>
      <c r="B160" s="348" t="s">
        <v>389</v>
      </c>
      <c r="C160" s="349" t="s">
        <v>390</v>
      </c>
      <c r="D160" s="350" t="s">
        <v>391</v>
      </c>
      <c r="E160" s="351"/>
      <c r="G160" s="71" t="s">
        <v>616</v>
      </c>
      <c r="H160" s="374">
        <f>H159*$D$430</f>
        <v>466.88399999999996</v>
      </c>
    </row>
    <row r="161" spans="1:8" ht="22" customHeight="1" x14ac:dyDescent="0.35">
      <c r="A161" s="347" t="s">
        <v>392</v>
      </c>
      <c r="B161" s="348" t="s">
        <v>393</v>
      </c>
      <c r="C161" s="349" t="s">
        <v>394</v>
      </c>
      <c r="D161" s="350">
        <v>4</v>
      </c>
      <c r="E161" s="351"/>
    </row>
    <row r="162" spans="1:8" ht="22" customHeight="1" x14ac:dyDescent="0.35">
      <c r="A162" s="347" t="s">
        <v>395</v>
      </c>
      <c r="B162" s="348" t="s">
        <v>396</v>
      </c>
      <c r="C162" s="349" t="s">
        <v>397</v>
      </c>
      <c r="D162" s="350">
        <v>67.180000000000007</v>
      </c>
      <c r="E162" s="352" t="s">
        <v>398</v>
      </c>
    </row>
    <row r="163" spans="1:8" ht="22" customHeight="1" x14ac:dyDescent="0.35">
      <c r="A163" s="349" t="s">
        <v>399</v>
      </c>
      <c r="B163" s="348" t="s">
        <v>400</v>
      </c>
      <c r="C163" s="349" t="s">
        <v>20</v>
      </c>
      <c r="D163" s="350">
        <v>1</v>
      </c>
      <c r="E163" s="351"/>
    </row>
    <row r="164" spans="1:8" x14ac:dyDescent="0.35">
      <c r="A164" s="349" t="s">
        <v>401</v>
      </c>
      <c r="B164" s="348" t="s">
        <v>402</v>
      </c>
      <c r="C164" s="349" t="s">
        <v>403</v>
      </c>
      <c r="D164" s="350">
        <v>1000</v>
      </c>
      <c r="E164" s="351"/>
    </row>
    <row r="165" spans="1:8" x14ac:dyDescent="0.35">
      <c r="A165" s="347" t="s">
        <v>404</v>
      </c>
      <c r="B165" s="348" t="s">
        <v>405</v>
      </c>
      <c r="C165" s="349" t="s">
        <v>406</v>
      </c>
      <c r="D165" s="350">
        <v>0.15</v>
      </c>
      <c r="E165" s="351"/>
    </row>
    <row r="166" spans="1:8" ht="29" x14ac:dyDescent="0.35">
      <c r="A166" s="353" t="s">
        <v>407</v>
      </c>
      <c r="B166" s="354" t="s">
        <v>408</v>
      </c>
      <c r="C166" s="349" t="s">
        <v>406</v>
      </c>
      <c r="D166" s="350">
        <v>1.4999999999999999E-2</v>
      </c>
      <c r="E166" s="351"/>
    </row>
    <row r="167" spans="1:8" ht="29" x14ac:dyDescent="0.35">
      <c r="A167" s="349" t="s">
        <v>409</v>
      </c>
      <c r="B167" s="348" t="s">
        <v>410</v>
      </c>
      <c r="C167" s="349" t="s">
        <v>411</v>
      </c>
      <c r="D167" s="350">
        <v>0</v>
      </c>
      <c r="E167" s="351"/>
    </row>
    <row r="168" spans="1:8" ht="29" x14ac:dyDescent="0.35">
      <c r="A168" s="347" t="s">
        <v>412</v>
      </c>
      <c r="B168" s="348" t="s">
        <v>413</v>
      </c>
      <c r="C168" s="349" t="s">
        <v>414</v>
      </c>
      <c r="D168" s="350">
        <v>3930</v>
      </c>
      <c r="E168" s="351"/>
    </row>
    <row r="169" spans="1:8" ht="29" x14ac:dyDescent="0.35">
      <c r="A169" s="347" t="s">
        <v>415</v>
      </c>
      <c r="B169" s="348" t="s">
        <v>416</v>
      </c>
      <c r="C169" s="349" t="s">
        <v>414</v>
      </c>
      <c r="D169" s="350">
        <v>0</v>
      </c>
      <c r="E169" s="351"/>
      <c r="G169" s="71" t="s">
        <v>617</v>
      </c>
      <c r="H169" s="374">
        <f>H28+H45+H61+H78+H94+H110+H126+H143+H159</f>
        <v>67654.95</v>
      </c>
    </row>
    <row r="170" spans="1:8" ht="43.5" x14ac:dyDescent="0.35">
      <c r="A170" s="349" t="s">
        <v>417</v>
      </c>
      <c r="B170" s="354" t="s">
        <v>418</v>
      </c>
      <c r="C170" s="349" t="s">
        <v>419</v>
      </c>
      <c r="D170" s="350">
        <v>4</v>
      </c>
      <c r="E170" s="351" t="s">
        <v>420</v>
      </c>
      <c r="G170" s="71" t="s">
        <v>618</v>
      </c>
      <c r="H170" s="374">
        <f>H29+H46+H62+H79+H95+H111+H127+H144+H160</f>
        <v>12177.891</v>
      </c>
    </row>
    <row r="171" spans="1:8" x14ac:dyDescent="0.35">
      <c r="A171" s="349" t="s">
        <v>421</v>
      </c>
      <c r="B171" s="348" t="s">
        <v>422</v>
      </c>
      <c r="C171" s="349" t="s">
        <v>423</v>
      </c>
      <c r="D171" s="350">
        <v>10</v>
      </c>
      <c r="E171" s="352" t="s">
        <v>398</v>
      </c>
    </row>
    <row r="172" spans="1:8" ht="15" thickBot="1" x14ac:dyDescent="0.4"/>
    <row r="173" spans="1:8" ht="15" thickBot="1" x14ac:dyDescent="0.4">
      <c r="A173" s="405" t="s">
        <v>385</v>
      </c>
      <c r="B173" s="406"/>
      <c r="C173" s="406"/>
      <c r="D173" s="407"/>
    </row>
    <row r="174" spans="1:8" x14ac:dyDescent="0.35">
      <c r="A174" s="404" t="s">
        <v>432</v>
      </c>
      <c r="B174" s="404"/>
      <c r="C174" s="404"/>
      <c r="D174" s="404"/>
    </row>
    <row r="175" spans="1:8" x14ac:dyDescent="0.35">
      <c r="A175" s="325" t="s">
        <v>315</v>
      </c>
      <c r="B175" s="325" t="s">
        <v>316</v>
      </c>
      <c r="C175" s="325" t="s">
        <v>317</v>
      </c>
      <c r="D175" s="325" t="s">
        <v>318</v>
      </c>
      <c r="E175" s="325" t="s">
        <v>433</v>
      </c>
      <c r="F175" s="325" t="s">
        <v>434</v>
      </c>
      <c r="G175" s="375" t="s">
        <v>619</v>
      </c>
      <c r="H175" s="373">
        <f>D177*D181*(D184-D185)+D177*D181*D183*D185</f>
        <v>4895.7299999999996</v>
      </c>
    </row>
    <row r="176" spans="1:8" x14ac:dyDescent="0.35">
      <c r="A176" s="347" t="s">
        <v>388</v>
      </c>
      <c r="B176" s="348" t="s">
        <v>389</v>
      </c>
      <c r="C176" s="349" t="s">
        <v>390</v>
      </c>
      <c r="D176" s="349" t="s">
        <v>49</v>
      </c>
      <c r="E176" s="277"/>
      <c r="F176" s="277"/>
      <c r="G176" s="375" t="s">
        <v>620</v>
      </c>
      <c r="H176" s="373">
        <f>H175*$D$430</f>
        <v>881.23139999999989</v>
      </c>
    </row>
    <row r="177" spans="1:8" x14ac:dyDescent="0.35">
      <c r="A177" s="347" t="s">
        <v>392</v>
      </c>
      <c r="B177" s="348" t="s">
        <v>393</v>
      </c>
      <c r="C177" s="349" t="s">
        <v>394</v>
      </c>
      <c r="D177" s="356">
        <v>50</v>
      </c>
      <c r="E177" s="277"/>
      <c r="F177" s="277"/>
      <c r="G177" s="375" t="s">
        <v>621</v>
      </c>
      <c r="H177" s="373">
        <f>Tabella4104[[#This Row],[Valore]]*D178</f>
        <v>11500</v>
      </c>
    </row>
    <row r="178" spans="1:8" ht="29" x14ac:dyDescent="0.35">
      <c r="A178" s="347" t="s">
        <v>435</v>
      </c>
      <c r="B178" s="348" t="s">
        <v>436</v>
      </c>
      <c r="C178" s="349" t="s">
        <v>397</v>
      </c>
      <c r="D178" s="356">
        <v>230</v>
      </c>
      <c r="E178" s="357"/>
      <c r="F178" s="358" t="s">
        <v>437</v>
      </c>
    </row>
    <row r="179" spans="1:8" x14ac:dyDescent="0.35">
      <c r="A179" s="349" t="s">
        <v>399</v>
      </c>
      <c r="B179" s="348" t="s">
        <v>400</v>
      </c>
      <c r="C179" s="349" t="s">
        <v>20</v>
      </c>
      <c r="D179" s="356">
        <v>1</v>
      </c>
      <c r="E179" s="277"/>
      <c r="F179" s="277"/>
    </row>
    <row r="180" spans="1:8" x14ac:dyDescent="0.35">
      <c r="A180" s="349" t="s">
        <v>401</v>
      </c>
      <c r="B180" s="348" t="s">
        <v>402</v>
      </c>
      <c r="C180" s="349" t="s">
        <v>403</v>
      </c>
      <c r="D180" s="359">
        <v>1500</v>
      </c>
      <c r="E180" s="347" t="s">
        <v>438</v>
      </c>
      <c r="F180" s="277"/>
    </row>
    <row r="181" spans="1:8" x14ac:dyDescent="0.35">
      <c r="A181" s="347" t="s">
        <v>404</v>
      </c>
      <c r="B181" s="348" t="s">
        <v>405</v>
      </c>
      <c r="C181" s="349" t="s">
        <v>406</v>
      </c>
      <c r="D181" s="349">
        <v>4.2000000000000003E-2</v>
      </c>
      <c r="E181" s="277"/>
      <c r="F181" s="277"/>
    </row>
    <row r="182" spans="1:8" ht="29" x14ac:dyDescent="0.35">
      <c r="A182" s="353" t="s">
        <v>407</v>
      </c>
      <c r="B182" s="354" t="s">
        <v>439</v>
      </c>
      <c r="C182" s="349" t="s">
        <v>406</v>
      </c>
      <c r="D182" s="360" t="s">
        <v>440</v>
      </c>
      <c r="E182" s="277"/>
      <c r="F182" s="277"/>
    </row>
    <row r="183" spans="1:8" ht="29" x14ac:dyDescent="0.35">
      <c r="A183" s="349" t="s">
        <v>409</v>
      </c>
      <c r="B183" s="348" t="s">
        <v>410</v>
      </c>
      <c r="C183" s="356" t="s">
        <v>411</v>
      </c>
      <c r="D183" s="361">
        <v>0.27</v>
      </c>
      <c r="E183" s="277"/>
      <c r="F183" s="277"/>
    </row>
    <row r="184" spans="1:8" ht="29" x14ac:dyDescent="0.35">
      <c r="A184" s="347" t="s">
        <v>412</v>
      </c>
      <c r="B184" s="348" t="s">
        <v>413</v>
      </c>
      <c r="C184" s="349" t="s">
        <v>414</v>
      </c>
      <c r="D184" s="361">
        <v>3930</v>
      </c>
      <c r="E184" s="277"/>
      <c r="F184" s="277"/>
    </row>
    <row r="185" spans="1:8" ht="29" x14ac:dyDescent="0.35">
      <c r="A185" s="347" t="s">
        <v>415</v>
      </c>
      <c r="B185" s="348" t="s">
        <v>416</v>
      </c>
      <c r="C185" s="349" t="s">
        <v>414</v>
      </c>
      <c r="D185" s="361">
        <v>2190</v>
      </c>
      <c r="E185" s="277"/>
      <c r="F185" s="277"/>
    </row>
    <row r="186" spans="1:8" ht="43.5" x14ac:dyDescent="0.35">
      <c r="A186" s="360" t="s">
        <v>417</v>
      </c>
      <c r="B186" s="354" t="s">
        <v>418</v>
      </c>
      <c r="C186" s="349" t="s">
        <v>419</v>
      </c>
      <c r="D186" s="361">
        <v>15</v>
      </c>
      <c r="E186" s="277"/>
      <c r="F186" s="277"/>
    </row>
    <row r="187" spans="1:8" ht="29" x14ac:dyDescent="0.35">
      <c r="A187" s="349" t="s">
        <v>441</v>
      </c>
      <c r="B187" s="362" t="s">
        <v>442</v>
      </c>
      <c r="C187" s="356" t="s">
        <v>443</v>
      </c>
      <c r="D187" s="361">
        <v>60</v>
      </c>
      <c r="E187" s="357"/>
      <c r="F187" s="277"/>
    </row>
    <row r="188" spans="1:8" ht="29" x14ac:dyDescent="0.35">
      <c r="A188" s="349" t="s">
        <v>444</v>
      </c>
      <c r="B188" s="362" t="s">
        <v>445</v>
      </c>
      <c r="C188" s="356" t="s">
        <v>446</v>
      </c>
      <c r="D188" s="361">
        <v>0</v>
      </c>
      <c r="E188" s="277" t="s">
        <v>447</v>
      </c>
      <c r="F188" s="277"/>
    </row>
    <row r="189" spans="1:8" ht="29" x14ac:dyDescent="0.35">
      <c r="A189" s="349" t="s">
        <v>448</v>
      </c>
      <c r="B189" s="362" t="s">
        <v>449</v>
      </c>
      <c r="C189" s="356" t="s">
        <v>443</v>
      </c>
      <c r="D189" s="361">
        <v>200</v>
      </c>
      <c r="E189" s="277"/>
      <c r="F189" s="277"/>
    </row>
    <row r="190" spans="1:8" ht="29" x14ac:dyDescent="0.35">
      <c r="A190" s="349" t="s">
        <v>450</v>
      </c>
      <c r="B190" s="362" t="s">
        <v>451</v>
      </c>
      <c r="C190" s="356" t="s">
        <v>443</v>
      </c>
      <c r="D190" s="361">
        <v>7</v>
      </c>
      <c r="E190" s="277"/>
      <c r="F190" s="277"/>
    </row>
    <row r="191" spans="1:8" ht="29" x14ac:dyDescent="0.35">
      <c r="A191" s="349" t="s">
        <v>452</v>
      </c>
      <c r="B191" s="362" t="s">
        <v>453</v>
      </c>
      <c r="C191" s="356" t="s">
        <v>454</v>
      </c>
      <c r="D191" s="359">
        <v>0</v>
      </c>
      <c r="E191" s="277"/>
      <c r="F191" s="277"/>
    </row>
    <row r="192" spans="1:8" ht="15" thickBot="1" x14ac:dyDescent="0.4"/>
    <row r="193" spans="1:8" ht="15" thickBot="1" x14ac:dyDescent="0.4">
      <c r="A193" s="405" t="s">
        <v>455</v>
      </c>
      <c r="B193" s="406"/>
      <c r="C193" s="406"/>
      <c r="D193" s="407"/>
    </row>
    <row r="194" spans="1:8" x14ac:dyDescent="0.35">
      <c r="A194" s="404" t="s">
        <v>432</v>
      </c>
      <c r="B194" s="404"/>
      <c r="C194" s="404"/>
      <c r="D194" s="404"/>
    </row>
    <row r="195" spans="1:8" x14ac:dyDescent="0.35">
      <c r="A195" s="325" t="s">
        <v>315</v>
      </c>
      <c r="B195" s="325" t="s">
        <v>316</v>
      </c>
      <c r="C195" s="325" t="s">
        <v>317</v>
      </c>
      <c r="D195" s="325" t="s">
        <v>318</v>
      </c>
      <c r="E195" s="325" t="s">
        <v>433</v>
      </c>
      <c r="F195" s="325" t="s">
        <v>434</v>
      </c>
      <c r="G195" s="375" t="s">
        <v>619</v>
      </c>
      <c r="H195" s="373">
        <f>D197*D201*(D204-D205)+D197*D201*D203*D205</f>
        <v>2545.7796000000003</v>
      </c>
    </row>
    <row r="196" spans="1:8" x14ac:dyDescent="0.35">
      <c r="A196" s="347" t="s">
        <v>388</v>
      </c>
      <c r="B196" s="348" t="s">
        <v>389</v>
      </c>
      <c r="C196" s="349" t="s">
        <v>390</v>
      </c>
      <c r="D196" s="349" t="s">
        <v>49</v>
      </c>
      <c r="E196" s="277"/>
      <c r="F196" s="277"/>
      <c r="G196" s="375" t="s">
        <v>620</v>
      </c>
      <c r="H196" s="373">
        <f>H195*$D$430</f>
        <v>458.24032800000003</v>
      </c>
    </row>
    <row r="197" spans="1:8" x14ac:dyDescent="0.35">
      <c r="A197" s="347" t="s">
        <v>392</v>
      </c>
      <c r="B197" s="348" t="s">
        <v>393</v>
      </c>
      <c r="C197" s="349" t="s">
        <v>394</v>
      </c>
      <c r="D197" s="356">
        <v>26</v>
      </c>
      <c r="E197" s="277"/>
      <c r="F197" s="277"/>
      <c r="G197" s="375" t="s">
        <v>621</v>
      </c>
      <c r="H197" s="373">
        <f>Tabella410417[[#This Row],[Valore]]*D198</f>
        <v>5980</v>
      </c>
    </row>
    <row r="198" spans="1:8" ht="29" x14ac:dyDescent="0.35">
      <c r="A198" s="347" t="s">
        <v>435</v>
      </c>
      <c r="B198" s="348" t="s">
        <v>436</v>
      </c>
      <c r="C198" s="349" t="s">
        <v>397</v>
      </c>
      <c r="D198" s="356">
        <v>230</v>
      </c>
      <c r="E198" s="363"/>
      <c r="F198" s="358" t="s">
        <v>437</v>
      </c>
    </row>
    <row r="199" spans="1:8" x14ac:dyDescent="0.35">
      <c r="A199" s="349" t="s">
        <v>399</v>
      </c>
      <c r="B199" s="348" t="s">
        <v>400</v>
      </c>
      <c r="C199" s="349" t="s">
        <v>20</v>
      </c>
      <c r="D199" s="356">
        <v>1</v>
      </c>
      <c r="E199" s="277"/>
      <c r="F199" s="277"/>
    </row>
    <row r="200" spans="1:8" x14ac:dyDescent="0.35">
      <c r="A200" s="349" t="s">
        <v>401</v>
      </c>
      <c r="B200" s="348" t="s">
        <v>402</v>
      </c>
      <c r="C200" s="349" t="s">
        <v>403</v>
      </c>
      <c r="D200" s="356">
        <v>1600</v>
      </c>
      <c r="E200" s="347" t="s">
        <v>456</v>
      </c>
      <c r="F200" s="277"/>
    </row>
    <row r="201" spans="1:8" x14ac:dyDescent="0.35">
      <c r="A201" s="347" t="s">
        <v>404</v>
      </c>
      <c r="B201" s="348" t="s">
        <v>405</v>
      </c>
      <c r="C201" s="349" t="s">
        <v>406</v>
      </c>
      <c r="D201" s="349">
        <v>4.2000000000000003E-2</v>
      </c>
      <c r="E201" s="277"/>
      <c r="F201" s="277"/>
    </row>
    <row r="202" spans="1:8" ht="29" x14ac:dyDescent="0.35">
      <c r="A202" s="353" t="s">
        <v>407</v>
      </c>
      <c r="B202" s="354" t="s">
        <v>439</v>
      </c>
      <c r="C202" s="349" t="s">
        <v>406</v>
      </c>
      <c r="D202" s="360" t="s">
        <v>440</v>
      </c>
      <c r="E202" s="277"/>
      <c r="F202" s="277"/>
    </row>
    <row r="203" spans="1:8" ht="29" x14ac:dyDescent="0.35">
      <c r="A203" s="349" t="s">
        <v>409</v>
      </c>
      <c r="B203" s="348" t="s">
        <v>410</v>
      </c>
      <c r="C203" s="356" t="s">
        <v>411</v>
      </c>
      <c r="D203" s="361">
        <v>0.27</v>
      </c>
      <c r="E203" s="277"/>
      <c r="F203" s="277"/>
    </row>
    <row r="204" spans="1:8" ht="29" x14ac:dyDescent="0.35">
      <c r="A204" s="347" t="s">
        <v>412</v>
      </c>
      <c r="B204" s="348" t="s">
        <v>413</v>
      </c>
      <c r="C204" s="349" t="s">
        <v>414</v>
      </c>
      <c r="D204" s="361">
        <v>3930</v>
      </c>
      <c r="E204" s="277"/>
      <c r="F204" s="277"/>
    </row>
    <row r="205" spans="1:8" ht="29" x14ac:dyDescent="0.35">
      <c r="A205" s="347" t="s">
        <v>415</v>
      </c>
      <c r="B205" s="348" t="s">
        <v>416</v>
      </c>
      <c r="C205" s="349" t="s">
        <v>414</v>
      </c>
      <c r="D205" s="361">
        <v>2190</v>
      </c>
      <c r="E205" s="277"/>
      <c r="F205" s="277"/>
    </row>
    <row r="206" spans="1:8" ht="43.5" x14ac:dyDescent="0.35">
      <c r="A206" s="360" t="s">
        <v>417</v>
      </c>
      <c r="B206" s="354" t="s">
        <v>418</v>
      </c>
      <c r="C206" s="349" t="s">
        <v>419</v>
      </c>
      <c r="D206" s="361">
        <v>15</v>
      </c>
      <c r="E206" s="277"/>
      <c r="F206" s="277"/>
    </row>
    <row r="207" spans="1:8" ht="29" x14ac:dyDescent="0.35">
      <c r="A207" s="349" t="s">
        <v>441</v>
      </c>
      <c r="B207" s="362" t="s">
        <v>442</v>
      </c>
      <c r="C207" s="356" t="s">
        <v>443</v>
      </c>
      <c r="D207" s="361">
        <v>60</v>
      </c>
      <c r="E207" s="357"/>
      <c r="F207" s="277"/>
    </row>
    <row r="208" spans="1:8" ht="29" x14ac:dyDescent="0.35">
      <c r="A208" s="349" t="s">
        <v>444</v>
      </c>
      <c r="B208" s="362" t="s">
        <v>445</v>
      </c>
      <c r="C208" s="356" t="s">
        <v>446</v>
      </c>
      <c r="D208" s="361">
        <v>0</v>
      </c>
      <c r="E208" s="277" t="s">
        <v>447</v>
      </c>
      <c r="F208" s="277"/>
    </row>
    <row r="209" spans="1:8" ht="29" x14ac:dyDescent="0.35">
      <c r="A209" s="349" t="s">
        <v>448</v>
      </c>
      <c r="B209" s="362" t="s">
        <v>449</v>
      </c>
      <c r="C209" s="356" t="s">
        <v>443</v>
      </c>
      <c r="D209" s="361">
        <v>200</v>
      </c>
      <c r="E209" s="277"/>
      <c r="F209" s="277"/>
    </row>
    <row r="210" spans="1:8" ht="29" x14ac:dyDescent="0.35">
      <c r="A210" s="349" t="s">
        <v>450</v>
      </c>
      <c r="B210" s="362" t="s">
        <v>451</v>
      </c>
      <c r="C210" s="356" t="s">
        <v>443</v>
      </c>
      <c r="D210" s="361">
        <v>7</v>
      </c>
      <c r="E210" s="277"/>
      <c r="F210" s="277"/>
    </row>
    <row r="211" spans="1:8" ht="29" x14ac:dyDescent="0.35">
      <c r="A211" s="349" t="s">
        <v>452</v>
      </c>
      <c r="B211" s="362" t="s">
        <v>453</v>
      </c>
      <c r="C211" s="356" t="s">
        <v>454</v>
      </c>
      <c r="D211" s="359">
        <v>0</v>
      </c>
      <c r="E211" s="277"/>
      <c r="F211" s="277"/>
    </row>
    <row r="212" spans="1:8" ht="15" thickBot="1" x14ac:dyDescent="0.4"/>
    <row r="213" spans="1:8" ht="15" thickBot="1" x14ac:dyDescent="0.4">
      <c r="A213" s="405" t="s">
        <v>457</v>
      </c>
      <c r="B213" s="406"/>
      <c r="C213" s="406"/>
      <c r="D213" s="407"/>
    </row>
    <row r="214" spans="1:8" x14ac:dyDescent="0.35">
      <c r="A214" s="404" t="s">
        <v>432</v>
      </c>
      <c r="B214" s="404"/>
      <c r="C214" s="404"/>
      <c r="D214" s="404"/>
    </row>
    <row r="215" spans="1:8" x14ac:dyDescent="0.35">
      <c r="A215" s="325" t="s">
        <v>315</v>
      </c>
      <c r="B215" s="325" t="s">
        <v>316</v>
      </c>
      <c r="C215" s="325" t="s">
        <v>317</v>
      </c>
      <c r="D215" s="325" t="s">
        <v>318</v>
      </c>
      <c r="E215" s="325" t="s">
        <v>433</v>
      </c>
      <c r="F215" s="325" t="s">
        <v>434</v>
      </c>
      <c r="G215" s="375" t="s">
        <v>619</v>
      </c>
      <c r="H215" s="373">
        <f>D217*D221*(D224-D225)+D217*D221*D223*D225</f>
        <v>1608.5969999999998</v>
      </c>
    </row>
    <row r="216" spans="1:8" x14ac:dyDescent="0.35">
      <c r="A216" s="347" t="s">
        <v>388</v>
      </c>
      <c r="B216" s="348" t="s">
        <v>389</v>
      </c>
      <c r="C216" s="349" t="s">
        <v>390</v>
      </c>
      <c r="D216" s="349" t="s">
        <v>49</v>
      </c>
      <c r="E216" s="277"/>
      <c r="F216" s="277"/>
      <c r="G216" s="375" t="s">
        <v>620</v>
      </c>
      <c r="H216" s="373">
        <f>H215*$D$430</f>
        <v>289.54745999999994</v>
      </c>
    </row>
    <row r="217" spans="1:8" x14ac:dyDescent="0.35">
      <c r="A217" s="347" t="s">
        <v>392</v>
      </c>
      <c r="B217" s="348" t="s">
        <v>393</v>
      </c>
      <c r="C217" s="349" t="s">
        <v>394</v>
      </c>
      <c r="D217" s="356">
        <v>30</v>
      </c>
      <c r="E217" s="277"/>
      <c r="F217" s="277"/>
      <c r="G217" s="375" t="s">
        <v>621</v>
      </c>
      <c r="H217" s="373">
        <f>Tabella41041718[[#This Row],[Valore]]*D218</f>
        <v>6900</v>
      </c>
    </row>
    <row r="218" spans="1:8" ht="29" x14ac:dyDescent="0.35">
      <c r="A218" s="347" t="s">
        <v>435</v>
      </c>
      <c r="B218" s="348" t="s">
        <v>436</v>
      </c>
      <c r="C218" s="349" t="s">
        <v>397</v>
      </c>
      <c r="D218" s="356">
        <v>230</v>
      </c>
      <c r="E218" s="357"/>
      <c r="F218" s="358" t="s">
        <v>437</v>
      </c>
    </row>
    <row r="219" spans="1:8" x14ac:dyDescent="0.35">
      <c r="A219" s="349" t="s">
        <v>399</v>
      </c>
      <c r="B219" s="348" t="s">
        <v>400</v>
      </c>
      <c r="C219" s="349" t="s">
        <v>20</v>
      </c>
      <c r="D219" s="356">
        <v>1</v>
      </c>
      <c r="E219" s="277"/>
      <c r="F219" s="277"/>
    </row>
    <row r="220" spans="1:8" x14ac:dyDescent="0.35">
      <c r="A220" s="349" t="s">
        <v>401</v>
      </c>
      <c r="B220" s="348" t="s">
        <v>402</v>
      </c>
      <c r="C220" s="349" t="s">
        <v>403</v>
      </c>
      <c r="D220" s="356">
        <v>1600</v>
      </c>
      <c r="E220" s="347" t="s">
        <v>456</v>
      </c>
      <c r="F220" s="277"/>
    </row>
    <row r="221" spans="1:8" x14ac:dyDescent="0.35">
      <c r="A221" s="347" t="s">
        <v>404</v>
      </c>
      <c r="B221" s="348" t="s">
        <v>405</v>
      </c>
      <c r="C221" s="349" t="s">
        <v>406</v>
      </c>
      <c r="D221" s="349">
        <v>2.3E-2</v>
      </c>
      <c r="E221" s="277"/>
      <c r="F221" s="277"/>
    </row>
    <row r="222" spans="1:8" ht="29" x14ac:dyDescent="0.35">
      <c r="A222" s="353" t="s">
        <v>407</v>
      </c>
      <c r="B222" s="354" t="s">
        <v>439</v>
      </c>
      <c r="C222" s="349" t="s">
        <v>406</v>
      </c>
      <c r="D222" s="360" t="s">
        <v>440</v>
      </c>
      <c r="E222" s="277"/>
      <c r="F222" s="277"/>
    </row>
    <row r="223" spans="1:8" ht="29" x14ac:dyDescent="0.35">
      <c r="A223" s="349" t="s">
        <v>409</v>
      </c>
      <c r="B223" s="348" t="s">
        <v>410</v>
      </c>
      <c r="C223" s="356" t="s">
        <v>411</v>
      </c>
      <c r="D223" s="361">
        <v>0.27</v>
      </c>
      <c r="E223" s="277"/>
      <c r="F223" s="277"/>
    </row>
    <row r="224" spans="1:8" ht="29" x14ac:dyDescent="0.35">
      <c r="A224" s="347" t="s">
        <v>412</v>
      </c>
      <c r="B224" s="348" t="s">
        <v>413</v>
      </c>
      <c r="C224" s="349" t="s">
        <v>414</v>
      </c>
      <c r="D224" s="361">
        <v>3930</v>
      </c>
      <c r="E224" s="277"/>
      <c r="F224" s="277"/>
    </row>
    <row r="225" spans="1:8" ht="29" x14ac:dyDescent="0.35">
      <c r="A225" s="347" t="s">
        <v>415</v>
      </c>
      <c r="B225" s="348" t="s">
        <v>416</v>
      </c>
      <c r="C225" s="349" t="s">
        <v>414</v>
      </c>
      <c r="D225" s="361">
        <v>2190</v>
      </c>
      <c r="E225" s="277"/>
      <c r="F225" s="277"/>
    </row>
    <row r="226" spans="1:8" ht="43.5" x14ac:dyDescent="0.35">
      <c r="A226" s="360" t="s">
        <v>417</v>
      </c>
      <c r="B226" s="354" t="s">
        <v>418</v>
      </c>
      <c r="C226" s="349" t="s">
        <v>419</v>
      </c>
      <c r="D226" s="361">
        <v>15</v>
      </c>
      <c r="E226" s="277"/>
      <c r="F226" s="277"/>
    </row>
    <row r="227" spans="1:8" ht="29" x14ac:dyDescent="0.35">
      <c r="A227" s="349" t="s">
        <v>441</v>
      </c>
      <c r="B227" s="362" t="s">
        <v>442</v>
      </c>
      <c r="C227" s="356" t="s">
        <v>443</v>
      </c>
      <c r="D227" s="361">
        <v>60</v>
      </c>
      <c r="E227" s="357"/>
      <c r="F227" s="277"/>
    </row>
    <row r="228" spans="1:8" ht="29" x14ac:dyDescent="0.35">
      <c r="A228" s="349" t="s">
        <v>444</v>
      </c>
      <c r="B228" s="362" t="s">
        <v>445</v>
      </c>
      <c r="C228" s="356" t="s">
        <v>446</v>
      </c>
      <c r="D228" s="361">
        <v>0</v>
      </c>
      <c r="E228" s="277" t="s">
        <v>447</v>
      </c>
      <c r="F228" s="277"/>
    </row>
    <row r="229" spans="1:8" ht="29" x14ac:dyDescent="0.35">
      <c r="A229" s="349" t="s">
        <v>448</v>
      </c>
      <c r="B229" s="362" t="s">
        <v>449</v>
      </c>
      <c r="C229" s="356" t="s">
        <v>443</v>
      </c>
      <c r="D229" s="361">
        <v>200</v>
      </c>
      <c r="E229" s="277"/>
      <c r="F229" s="277"/>
    </row>
    <row r="230" spans="1:8" ht="29" x14ac:dyDescent="0.35">
      <c r="A230" s="349" t="s">
        <v>450</v>
      </c>
      <c r="B230" s="362" t="s">
        <v>451</v>
      </c>
      <c r="C230" s="356" t="s">
        <v>443</v>
      </c>
      <c r="D230" s="361">
        <v>7</v>
      </c>
      <c r="E230" s="277"/>
      <c r="F230" s="277"/>
    </row>
    <row r="231" spans="1:8" ht="29" x14ac:dyDescent="0.35">
      <c r="A231" s="349" t="s">
        <v>452</v>
      </c>
      <c r="B231" s="362" t="s">
        <v>453</v>
      </c>
      <c r="C231" s="356" t="s">
        <v>454</v>
      </c>
      <c r="D231" s="359">
        <v>0</v>
      </c>
      <c r="E231" s="277"/>
      <c r="F231" s="277"/>
    </row>
    <row r="232" spans="1:8" ht="15" thickBot="1" x14ac:dyDescent="0.4"/>
    <row r="233" spans="1:8" ht="15" thickBot="1" x14ac:dyDescent="0.4">
      <c r="A233" s="405" t="s">
        <v>458</v>
      </c>
      <c r="B233" s="406"/>
      <c r="C233" s="406"/>
      <c r="D233" s="407"/>
    </row>
    <row r="234" spans="1:8" x14ac:dyDescent="0.35">
      <c r="A234" s="404" t="s">
        <v>432</v>
      </c>
      <c r="B234" s="404"/>
      <c r="C234" s="404"/>
      <c r="D234" s="404"/>
    </row>
    <row r="235" spans="1:8" x14ac:dyDescent="0.35">
      <c r="A235" s="325" t="s">
        <v>315</v>
      </c>
      <c r="B235" s="325" t="s">
        <v>316</v>
      </c>
      <c r="C235" s="325" t="s">
        <v>317</v>
      </c>
      <c r="D235" s="325" t="s">
        <v>318</v>
      </c>
      <c r="E235" s="325" t="s">
        <v>433</v>
      </c>
      <c r="F235" s="325" t="s">
        <v>434</v>
      </c>
      <c r="G235" s="375" t="s">
        <v>619</v>
      </c>
      <c r="H235" s="373">
        <f>D237*D241*(D244-D245)+D237*D241*D243*D245</f>
        <v>279.75599999999997</v>
      </c>
    </row>
    <row r="236" spans="1:8" x14ac:dyDescent="0.35">
      <c r="A236" s="347" t="s">
        <v>388</v>
      </c>
      <c r="B236" s="348" t="s">
        <v>389</v>
      </c>
      <c r="C236" s="349" t="s">
        <v>390</v>
      </c>
      <c r="D236" s="349" t="s">
        <v>49</v>
      </c>
      <c r="E236" s="277"/>
      <c r="F236" s="277"/>
      <c r="G236" s="375" t="s">
        <v>620</v>
      </c>
      <c r="H236" s="373">
        <f>H235*$D$430</f>
        <v>50.356079999999992</v>
      </c>
    </row>
    <row r="237" spans="1:8" x14ac:dyDescent="0.35">
      <c r="A237" s="347" t="s">
        <v>392</v>
      </c>
      <c r="B237" s="348" t="s">
        <v>393</v>
      </c>
      <c r="C237" s="349" t="s">
        <v>394</v>
      </c>
      <c r="D237" s="356">
        <v>4</v>
      </c>
      <c r="E237" s="277"/>
      <c r="F237" s="277"/>
      <c r="G237" s="375" t="s">
        <v>621</v>
      </c>
      <c r="H237" s="373">
        <f>Tabella4104171819[[#This Row],[Valore]]*D238</f>
        <v>920</v>
      </c>
    </row>
    <row r="238" spans="1:8" ht="29" x14ac:dyDescent="0.35">
      <c r="A238" s="347" t="s">
        <v>435</v>
      </c>
      <c r="B238" s="348" t="s">
        <v>436</v>
      </c>
      <c r="C238" s="349" t="s">
        <v>397</v>
      </c>
      <c r="D238" s="356">
        <v>230</v>
      </c>
      <c r="E238" s="357"/>
      <c r="F238" s="358" t="s">
        <v>437</v>
      </c>
    </row>
    <row r="239" spans="1:8" x14ac:dyDescent="0.35">
      <c r="A239" s="349" t="s">
        <v>399</v>
      </c>
      <c r="B239" s="348" t="s">
        <v>400</v>
      </c>
      <c r="C239" s="349" t="s">
        <v>20</v>
      </c>
      <c r="D239" s="356">
        <v>1</v>
      </c>
      <c r="E239" s="277"/>
      <c r="F239" s="277"/>
    </row>
    <row r="240" spans="1:8" x14ac:dyDescent="0.35">
      <c r="A240" s="349" t="s">
        <v>401</v>
      </c>
      <c r="B240" s="348" t="s">
        <v>402</v>
      </c>
      <c r="C240" s="349" t="s">
        <v>403</v>
      </c>
      <c r="D240" s="356">
        <v>1600</v>
      </c>
      <c r="E240" s="347" t="s">
        <v>459</v>
      </c>
      <c r="F240" s="277"/>
    </row>
    <row r="241" spans="1:8" x14ac:dyDescent="0.35">
      <c r="A241" s="347" t="s">
        <v>404</v>
      </c>
      <c r="B241" s="348" t="s">
        <v>405</v>
      </c>
      <c r="C241" s="349" t="s">
        <v>406</v>
      </c>
      <c r="D241" s="349">
        <v>0.03</v>
      </c>
      <c r="E241" s="277"/>
      <c r="F241" s="277"/>
    </row>
    <row r="242" spans="1:8" ht="29" x14ac:dyDescent="0.35">
      <c r="A242" s="353" t="s">
        <v>407</v>
      </c>
      <c r="B242" s="354" t="s">
        <v>439</v>
      </c>
      <c r="C242" s="349" t="s">
        <v>406</v>
      </c>
      <c r="D242" s="360" t="s">
        <v>440</v>
      </c>
      <c r="E242" s="277"/>
      <c r="F242" s="277"/>
    </row>
    <row r="243" spans="1:8" ht="29" x14ac:dyDescent="0.35">
      <c r="A243" s="349" t="s">
        <v>409</v>
      </c>
      <c r="B243" s="348" t="s">
        <v>410</v>
      </c>
      <c r="C243" s="356" t="s">
        <v>411</v>
      </c>
      <c r="D243" s="361">
        <v>0.27</v>
      </c>
      <c r="E243" s="277"/>
      <c r="F243" s="277"/>
    </row>
    <row r="244" spans="1:8" ht="29" x14ac:dyDescent="0.35">
      <c r="A244" s="347" t="s">
        <v>412</v>
      </c>
      <c r="B244" s="348" t="s">
        <v>413</v>
      </c>
      <c r="C244" s="349" t="s">
        <v>414</v>
      </c>
      <c r="D244" s="361">
        <v>3930</v>
      </c>
      <c r="E244" s="277"/>
      <c r="F244" s="277"/>
    </row>
    <row r="245" spans="1:8" ht="29" x14ac:dyDescent="0.35">
      <c r="A245" s="347" t="s">
        <v>415</v>
      </c>
      <c r="B245" s="348" t="s">
        <v>416</v>
      </c>
      <c r="C245" s="349" t="s">
        <v>414</v>
      </c>
      <c r="D245" s="361">
        <v>2190</v>
      </c>
      <c r="E245" s="277"/>
      <c r="F245" s="277"/>
    </row>
    <row r="246" spans="1:8" ht="43.5" x14ac:dyDescent="0.35">
      <c r="A246" s="360" t="s">
        <v>417</v>
      </c>
      <c r="B246" s="354" t="s">
        <v>418</v>
      </c>
      <c r="C246" s="349" t="s">
        <v>419</v>
      </c>
      <c r="D246" s="361">
        <v>15</v>
      </c>
      <c r="E246" s="277"/>
      <c r="F246" s="277"/>
    </row>
    <row r="247" spans="1:8" ht="29" x14ac:dyDescent="0.35">
      <c r="A247" s="349" t="s">
        <v>441</v>
      </c>
      <c r="B247" s="362" t="s">
        <v>442</v>
      </c>
      <c r="C247" s="356" t="s">
        <v>443</v>
      </c>
      <c r="D247" s="361">
        <v>60</v>
      </c>
      <c r="E247" s="357"/>
      <c r="F247" s="277"/>
    </row>
    <row r="248" spans="1:8" ht="29" x14ac:dyDescent="0.35">
      <c r="A248" s="349" t="s">
        <v>444</v>
      </c>
      <c r="B248" s="362" t="s">
        <v>445</v>
      </c>
      <c r="C248" s="356" t="s">
        <v>446</v>
      </c>
      <c r="D248" s="361">
        <v>0</v>
      </c>
      <c r="E248" s="277" t="s">
        <v>447</v>
      </c>
      <c r="F248" s="277"/>
    </row>
    <row r="249" spans="1:8" ht="29" x14ac:dyDescent="0.35">
      <c r="A249" s="349" t="s">
        <v>448</v>
      </c>
      <c r="B249" s="362" t="s">
        <v>449</v>
      </c>
      <c r="C249" s="356" t="s">
        <v>443</v>
      </c>
      <c r="D249" s="361">
        <v>200</v>
      </c>
      <c r="E249" s="277"/>
      <c r="F249" s="277"/>
    </row>
    <row r="250" spans="1:8" ht="29" x14ac:dyDescent="0.35">
      <c r="A250" s="349" t="s">
        <v>450</v>
      </c>
      <c r="B250" s="362" t="s">
        <v>451</v>
      </c>
      <c r="C250" s="356" t="s">
        <v>443</v>
      </c>
      <c r="D250" s="361">
        <v>7</v>
      </c>
      <c r="E250" s="277"/>
      <c r="F250" s="277"/>
    </row>
    <row r="251" spans="1:8" ht="29" x14ac:dyDescent="0.35">
      <c r="A251" s="349" t="s">
        <v>452</v>
      </c>
      <c r="B251" s="362" t="s">
        <v>453</v>
      </c>
      <c r="C251" s="356" t="s">
        <v>454</v>
      </c>
      <c r="D251" s="359">
        <v>0</v>
      </c>
      <c r="E251" s="277"/>
      <c r="F251" s="277"/>
    </row>
    <row r="252" spans="1:8" ht="15" thickBot="1" x14ac:dyDescent="0.4"/>
    <row r="253" spans="1:8" ht="15" thickBot="1" x14ac:dyDescent="0.4">
      <c r="A253" s="405" t="s">
        <v>460</v>
      </c>
      <c r="B253" s="406"/>
      <c r="C253" s="406"/>
      <c r="D253" s="407"/>
    </row>
    <row r="254" spans="1:8" x14ac:dyDescent="0.35">
      <c r="A254" s="404" t="s">
        <v>432</v>
      </c>
      <c r="B254" s="404"/>
      <c r="C254" s="404"/>
      <c r="D254" s="404"/>
    </row>
    <row r="255" spans="1:8" x14ac:dyDescent="0.35">
      <c r="A255" s="325" t="s">
        <v>315</v>
      </c>
      <c r="B255" s="325" t="s">
        <v>316</v>
      </c>
      <c r="C255" s="325" t="s">
        <v>317</v>
      </c>
      <c r="D255" s="325" t="s">
        <v>318</v>
      </c>
      <c r="E255" s="325" t="s">
        <v>433</v>
      </c>
      <c r="F255" s="325" t="s">
        <v>434</v>
      </c>
      <c r="G255" s="375" t="s">
        <v>619</v>
      </c>
      <c r="H255" s="373">
        <f>D257*D261*(D264-D265)+D257*D261*D263*D265</f>
        <v>181.84140000000002</v>
      </c>
    </row>
    <row r="256" spans="1:8" x14ac:dyDescent="0.35">
      <c r="A256" s="347" t="s">
        <v>388</v>
      </c>
      <c r="B256" s="348" t="s">
        <v>389</v>
      </c>
      <c r="C256" s="349" t="s">
        <v>390</v>
      </c>
      <c r="D256" s="349" t="s">
        <v>49</v>
      </c>
      <c r="E256" s="277"/>
      <c r="F256" s="277"/>
      <c r="G256" s="375" t="s">
        <v>620</v>
      </c>
      <c r="H256" s="373">
        <f>H255*$D$430</f>
        <v>32.731452000000004</v>
      </c>
    </row>
    <row r="257" spans="1:8" x14ac:dyDescent="0.35">
      <c r="A257" s="347" t="s">
        <v>392</v>
      </c>
      <c r="B257" s="348" t="s">
        <v>393</v>
      </c>
      <c r="C257" s="349" t="s">
        <v>394</v>
      </c>
      <c r="D257" s="356">
        <v>6</v>
      </c>
      <c r="E257" s="277"/>
      <c r="F257" s="277"/>
      <c r="G257" s="375" t="s">
        <v>621</v>
      </c>
      <c r="H257" s="373">
        <f>Tabella410417181920[[#This Row],[Valore]]*D258</f>
        <v>1380</v>
      </c>
    </row>
    <row r="258" spans="1:8" ht="29" x14ac:dyDescent="0.35">
      <c r="A258" s="347" t="s">
        <v>435</v>
      </c>
      <c r="B258" s="348" t="s">
        <v>436</v>
      </c>
      <c r="C258" s="349" t="s">
        <v>397</v>
      </c>
      <c r="D258" s="356">
        <v>230</v>
      </c>
      <c r="E258" s="363"/>
      <c r="F258" s="358" t="s">
        <v>437</v>
      </c>
    </row>
    <row r="259" spans="1:8" x14ac:dyDescent="0.35">
      <c r="A259" s="349" t="s">
        <v>399</v>
      </c>
      <c r="B259" s="348" t="s">
        <v>400</v>
      </c>
      <c r="C259" s="349" t="s">
        <v>20</v>
      </c>
      <c r="D259" s="356">
        <v>1</v>
      </c>
      <c r="E259" s="277"/>
      <c r="F259" s="277"/>
    </row>
    <row r="260" spans="1:8" x14ac:dyDescent="0.35">
      <c r="A260" s="349" t="s">
        <v>401</v>
      </c>
      <c r="B260" s="348" t="s">
        <v>402</v>
      </c>
      <c r="C260" s="349" t="s">
        <v>403</v>
      </c>
      <c r="D260" s="356">
        <v>1600</v>
      </c>
      <c r="E260" s="347" t="s">
        <v>461</v>
      </c>
      <c r="F260" s="277"/>
    </row>
    <row r="261" spans="1:8" x14ac:dyDescent="0.35">
      <c r="A261" s="347" t="s">
        <v>404</v>
      </c>
      <c r="B261" s="348" t="s">
        <v>405</v>
      </c>
      <c r="C261" s="349" t="s">
        <v>406</v>
      </c>
      <c r="D261" s="349">
        <v>1.2999999999999999E-2</v>
      </c>
      <c r="E261" s="277"/>
      <c r="F261" s="277"/>
    </row>
    <row r="262" spans="1:8" ht="29" x14ac:dyDescent="0.35">
      <c r="A262" s="353" t="s">
        <v>407</v>
      </c>
      <c r="B262" s="354" t="s">
        <v>439</v>
      </c>
      <c r="C262" s="349" t="s">
        <v>406</v>
      </c>
      <c r="D262" s="360" t="s">
        <v>440</v>
      </c>
      <c r="E262" s="277"/>
      <c r="F262" s="277"/>
    </row>
    <row r="263" spans="1:8" ht="29" x14ac:dyDescent="0.35">
      <c r="A263" s="349" t="s">
        <v>409</v>
      </c>
      <c r="B263" s="348" t="s">
        <v>410</v>
      </c>
      <c r="C263" s="356" t="s">
        <v>411</v>
      </c>
      <c r="D263" s="361">
        <v>0.27</v>
      </c>
      <c r="E263" s="277"/>
      <c r="F263" s="277"/>
    </row>
    <row r="264" spans="1:8" ht="29" x14ac:dyDescent="0.35">
      <c r="A264" s="347" t="s">
        <v>412</v>
      </c>
      <c r="B264" s="348" t="s">
        <v>413</v>
      </c>
      <c r="C264" s="349" t="s">
        <v>414</v>
      </c>
      <c r="D264" s="361">
        <v>3930</v>
      </c>
      <c r="E264" s="277"/>
      <c r="F264" s="277"/>
    </row>
    <row r="265" spans="1:8" ht="29" x14ac:dyDescent="0.35">
      <c r="A265" s="347" t="s">
        <v>415</v>
      </c>
      <c r="B265" s="348" t="s">
        <v>416</v>
      </c>
      <c r="C265" s="349" t="s">
        <v>414</v>
      </c>
      <c r="D265" s="361">
        <v>2190</v>
      </c>
      <c r="E265" s="277"/>
      <c r="F265" s="277"/>
    </row>
    <row r="266" spans="1:8" ht="43.5" x14ac:dyDescent="0.35">
      <c r="A266" s="360" t="s">
        <v>417</v>
      </c>
      <c r="B266" s="354" t="s">
        <v>418</v>
      </c>
      <c r="C266" s="349" t="s">
        <v>419</v>
      </c>
      <c r="D266" s="361">
        <v>15</v>
      </c>
      <c r="E266" s="277"/>
      <c r="F266" s="277"/>
    </row>
    <row r="267" spans="1:8" ht="29" x14ac:dyDescent="0.35">
      <c r="A267" s="349" t="s">
        <v>441</v>
      </c>
      <c r="B267" s="362" t="s">
        <v>442</v>
      </c>
      <c r="C267" s="356" t="s">
        <v>443</v>
      </c>
      <c r="D267" s="361">
        <v>60</v>
      </c>
      <c r="E267" s="357"/>
      <c r="F267" s="277"/>
    </row>
    <row r="268" spans="1:8" ht="29" x14ac:dyDescent="0.35">
      <c r="A268" s="349" t="s">
        <v>444</v>
      </c>
      <c r="B268" s="362" t="s">
        <v>445</v>
      </c>
      <c r="C268" s="356" t="s">
        <v>446</v>
      </c>
      <c r="D268" s="361">
        <v>0</v>
      </c>
      <c r="E268" s="277" t="s">
        <v>447</v>
      </c>
      <c r="F268" s="277"/>
    </row>
    <row r="269" spans="1:8" ht="29" x14ac:dyDescent="0.35">
      <c r="A269" s="349" t="s">
        <v>448</v>
      </c>
      <c r="B269" s="362" t="s">
        <v>449</v>
      </c>
      <c r="C269" s="356" t="s">
        <v>443</v>
      </c>
      <c r="D269" s="361">
        <v>200</v>
      </c>
      <c r="E269" s="277"/>
      <c r="F269" s="277"/>
    </row>
    <row r="270" spans="1:8" ht="29" x14ac:dyDescent="0.35">
      <c r="A270" s="349" t="s">
        <v>450</v>
      </c>
      <c r="B270" s="362" t="s">
        <v>451</v>
      </c>
      <c r="C270" s="356" t="s">
        <v>443</v>
      </c>
      <c r="D270" s="361">
        <v>7</v>
      </c>
      <c r="E270" s="277"/>
      <c r="F270" s="277"/>
    </row>
    <row r="271" spans="1:8" ht="29" x14ac:dyDescent="0.35">
      <c r="A271" s="349" t="s">
        <v>452</v>
      </c>
      <c r="B271" s="362" t="s">
        <v>453</v>
      </c>
      <c r="C271" s="356" t="s">
        <v>454</v>
      </c>
      <c r="D271" s="359">
        <v>0</v>
      </c>
      <c r="E271" s="277"/>
      <c r="F271" s="277"/>
    </row>
    <row r="272" spans="1:8" ht="15" thickBot="1" x14ac:dyDescent="0.4"/>
    <row r="273" spans="1:8" ht="15" thickBot="1" x14ac:dyDescent="0.4">
      <c r="A273" s="405" t="s">
        <v>462</v>
      </c>
      <c r="B273" s="406"/>
      <c r="C273" s="406"/>
      <c r="D273" s="407"/>
    </row>
    <row r="274" spans="1:8" x14ac:dyDescent="0.35">
      <c r="A274" s="404" t="s">
        <v>432</v>
      </c>
      <c r="B274" s="404"/>
      <c r="C274" s="404"/>
      <c r="D274" s="404"/>
    </row>
    <row r="275" spans="1:8" x14ac:dyDescent="0.35">
      <c r="A275" s="325" t="s">
        <v>315</v>
      </c>
      <c r="B275" s="325" t="s">
        <v>316</v>
      </c>
      <c r="C275" s="325" t="s">
        <v>317</v>
      </c>
      <c r="D275" s="325" t="s">
        <v>318</v>
      </c>
      <c r="E275" s="325" t="s">
        <v>433</v>
      </c>
      <c r="F275" s="325" t="s">
        <v>434</v>
      </c>
      <c r="G275" s="375" t="s">
        <v>619</v>
      </c>
      <c r="H275" s="373">
        <f>D277*D281*(D284-D285)+D277*D281*D283*D285</f>
        <v>1771.788</v>
      </c>
    </row>
    <row r="276" spans="1:8" x14ac:dyDescent="0.35">
      <c r="A276" s="347" t="s">
        <v>388</v>
      </c>
      <c r="B276" s="348" t="s">
        <v>389</v>
      </c>
      <c r="C276" s="349" t="s">
        <v>390</v>
      </c>
      <c r="D276" s="349" t="s">
        <v>49</v>
      </c>
      <c r="E276" s="277"/>
      <c r="F276" s="277"/>
      <c r="G276" s="375" t="s">
        <v>620</v>
      </c>
      <c r="H276" s="373">
        <f>H275*$D$430</f>
        <v>318.92183999999997</v>
      </c>
    </row>
    <row r="277" spans="1:8" x14ac:dyDescent="0.35">
      <c r="A277" s="347" t="s">
        <v>392</v>
      </c>
      <c r="B277" s="348" t="s">
        <v>393</v>
      </c>
      <c r="C277" s="349" t="s">
        <v>394</v>
      </c>
      <c r="D277" s="356">
        <v>8</v>
      </c>
      <c r="E277" s="277"/>
      <c r="F277" s="277"/>
      <c r="G277" s="375" t="s">
        <v>621</v>
      </c>
      <c r="H277" s="373">
        <f>Tabella41041718192021[[#This Row],[Valore]]*D278</f>
        <v>2800</v>
      </c>
    </row>
    <row r="278" spans="1:8" ht="29" x14ac:dyDescent="0.35">
      <c r="A278" s="347" t="s">
        <v>435</v>
      </c>
      <c r="B278" s="348" t="s">
        <v>436</v>
      </c>
      <c r="C278" s="349" t="s">
        <v>397</v>
      </c>
      <c r="D278" s="364">
        <v>350</v>
      </c>
      <c r="E278" s="277"/>
      <c r="F278" s="365" t="s">
        <v>463</v>
      </c>
    </row>
    <row r="279" spans="1:8" x14ac:dyDescent="0.35">
      <c r="A279" s="349" t="s">
        <v>399</v>
      </c>
      <c r="B279" s="348" t="s">
        <v>400</v>
      </c>
      <c r="C279" s="349" t="s">
        <v>20</v>
      </c>
      <c r="D279" s="356">
        <v>1</v>
      </c>
      <c r="E279" s="277"/>
      <c r="F279" s="277"/>
    </row>
    <row r="280" spans="1:8" x14ac:dyDescent="0.35">
      <c r="A280" s="349" t="s">
        <v>401</v>
      </c>
      <c r="B280" s="348" t="s">
        <v>402</v>
      </c>
      <c r="C280" s="349" t="s">
        <v>403</v>
      </c>
      <c r="D280" s="356">
        <v>1600</v>
      </c>
      <c r="E280" s="347" t="s">
        <v>461</v>
      </c>
      <c r="F280" s="277"/>
    </row>
    <row r="281" spans="1:8" x14ac:dyDescent="0.35">
      <c r="A281" s="347" t="s">
        <v>404</v>
      </c>
      <c r="B281" s="348" t="s">
        <v>405</v>
      </c>
      <c r="C281" s="349" t="s">
        <v>406</v>
      </c>
      <c r="D281" s="349">
        <v>9.5000000000000001E-2</v>
      </c>
      <c r="E281" s="277"/>
      <c r="F281" s="277"/>
    </row>
    <row r="282" spans="1:8" ht="26.15" customHeight="1" x14ac:dyDescent="0.35">
      <c r="A282" s="353" t="s">
        <v>407</v>
      </c>
      <c r="B282" s="354" t="s">
        <v>439</v>
      </c>
      <c r="C282" s="349" t="s">
        <v>406</v>
      </c>
      <c r="D282" s="360" t="s">
        <v>440</v>
      </c>
      <c r="E282" s="277"/>
      <c r="F282" s="277"/>
    </row>
    <row r="283" spans="1:8" ht="22" customHeight="1" x14ac:dyDescent="0.35">
      <c r="A283" s="349" t="s">
        <v>409</v>
      </c>
      <c r="B283" s="348" t="s">
        <v>410</v>
      </c>
      <c r="C283" s="356" t="s">
        <v>411</v>
      </c>
      <c r="D283" s="361">
        <v>0.27</v>
      </c>
      <c r="E283" s="277"/>
      <c r="F283" s="277"/>
    </row>
    <row r="284" spans="1:8" ht="29" x14ac:dyDescent="0.35">
      <c r="A284" s="347" t="s">
        <v>412</v>
      </c>
      <c r="B284" s="348" t="s">
        <v>413</v>
      </c>
      <c r="C284" s="349" t="s">
        <v>414</v>
      </c>
      <c r="D284" s="361">
        <v>3930</v>
      </c>
      <c r="E284" s="277"/>
      <c r="F284" s="277"/>
    </row>
    <row r="285" spans="1:8" ht="29" x14ac:dyDescent="0.35">
      <c r="A285" s="347" t="s">
        <v>415</v>
      </c>
      <c r="B285" s="348" t="s">
        <v>416</v>
      </c>
      <c r="C285" s="349" t="s">
        <v>414</v>
      </c>
      <c r="D285" s="361">
        <v>2190</v>
      </c>
      <c r="E285" s="277"/>
      <c r="F285" s="277"/>
    </row>
    <row r="286" spans="1:8" ht="43.5" x14ac:dyDescent="0.35">
      <c r="A286" s="360" t="s">
        <v>417</v>
      </c>
      <c r="B286" s="354" t="s">
        <v>418</v>
      </c>
      <c r="C286" s="349" t="s">
        <v>419</v>
      </c>
      <c r="D286" s="361">
        <v>15</v>
      </c>
      <c r="E286" s="277"/>
      <c r="F286" s="277"/>
    </row>
    <row r="287" spans="1:8" ht="29" x14ac:dyDescent="0.35">
      <c r="A287" s="349" t="s">
        <v>441</v>
      </c>
      <c r="B287" s="362" t="s">
        <v>442</v>
      </c>
      <c r="C287" s="356" t="s">
        <v>443</v>
      </c>
      <c r="D287" s="361">
        <v>60</v>
      </c>
      <c r="E287" s="357"/>
      <c r="F287" s="277"/>
    </row>
    <row r="288" spans="1:8" ht="29" x14ac:dyDescent="0.35">
      <c r="A288" s="349" t="s">
        <v>444</v>
      </c>
      <c r="B288" s="362" t="s">
        <v>445</v>
      </c>
      <c r="C288" s="356" t="s">
        <v>446</v>
      </c>
      <c r="D288" s="361">
        <v>0</v>
      </c>
      <c r="E288" s="277" t="s">
        <v>447</v>
      </c>
      <c r="F288" s="277"/>
    </row>
    <row r="289" spans="1:8" ht="29" x14ac:dyDescent="0.35">
      <c r="A289" s="349" t="s">
        <v>448</v>
      </c>
      <c r="B289" s="362" t="s">
        <v>449</v>
      </c>
      <c r="C289" s="356" t="s">
        <v>443</v>
      </c>
      <c r="D289" s="361">
        <v>200</v>
      </c>
      <c r="E289" s="277"/>
      <c r="F289" s="277"/>
    </row>
    <row r="290" spans="1:8" ht="29" x14ac:dyDescent="0.35">
      <c r="A290" s="349" t="s">
        <v>450</v>
      </c>
      <c r="B290" s="362" t="s">
        <v>451</v>
      </c>
      <c r="C290" s="356" t="s">
        <v>443</v>
      </c>
      <c r="D290" s="361">
        <v>7</v>
      </c>
      <c r="E290" s="277"/>
      <c r="F290" s="277"/>
    </row>
    <row r="291" spans="1:8" ht="29" x14ac:dyDescent="0.35">
      <c r="A291" s="349" t="s">
        <v>452</v>
      </c>
      <c r="B291" s="362" t="s">
        <v>453</v>
      </c>
      <c r="C291" s="356" t="s">
        <v>454</v>
      </c>
      <c r="D291" s="359">
        <v>0</v>
      </c>
      <c r="E291" s="277"/>
      <c r="F291" s="277"/>
    </row>
    <row r="292" spans="1:8" ht="19.5" customHeight="1" thickBot="1" x14ac:dyDescent="0.4"/>
    <row r="293" spans="1:8" ht="19.5" customHeight="1" thickBot="1" x14ac:dyDescent="0.4">
      <c r="A293" s="405" t="s">
        <v>464</v>
      </c>
      <c r="B293" s="406"/>
      <c r="C293" s="406"/>
      <c r="D293" s="407"/>
    </row>
    <row r="294" spans="1:8" ht="19.5" customHeight="1" x14ac:dyDescent="0.35">
      <c r="A294" s="404" t="s">
        <v>432</v>
      </c>
      <c r="B294" s="404"/>
      <c r="C294" s="404"/>
      <c r="D294" s="404"/>
    </row>
    <row r="295" spans="1:8" x14ac:dyDescent="0.35">
      <c r="A295" s="325" t="s">
        <v>315</v>
      </c>
      <c r="B295" s="325" t="s">
        <v>316</v>
      </c>
      <c r="C295" s="325" t="s">
        <v>317</v>
      </c>
      <c r="D295" s="325" t="s">
        <v>318</v>
      </c>
      <c r="E295" s="325" t="s">
        <v>433</v>
      </c>
      <c r="F295" s="325" t="s">
        <v>434</v>
      </c>
      <c r="G295" s="375" t="s">
        <v>619</v>
      </c>
      <c r="H295" s="373">
        <f>D297*D301*(D304-D305)+D297*D301*D303*D305</f>
        <v>368.34540000000004</v>
      </c>
    </row>
    <row r="296" spans="1:8" x14ac:dyDescent="0.35">
      <c r="A296" s="347" t="s">
        <v>388</v>
      </c>
      <c r="B296" s="348" t="s">
        <v>389</v>
      </c>
      <c r="C296" s="349" t="s">
        <v>390</v>
      </c>
      <c r="D296" s="349" t="s">
        <v>49</v>
      </c>
      <c r="E296" s="277"/>
      <c r="F296" s="277"/>
      <c r="G296" s="375" t="s">
        <v>620</v>
      </c>
      <c r="H296" s="373">
        <f>H295*$D$430</f>
        <v>66.302171999999999</v>
      </c>
    </row>
    <row r="297" spans="1:8" x14ac:dyDescent="0.35">
      <c r="A297" s="347" t="s">
        <v>392</v>
      </c>
      <c r="B297" s="348" t="s">
        <v>393</v>
      </c>
      <c r="C297" s="349" t="s">
        <v>394</v>
      </c>
      <c r="D297" s="356">
        <v>2</v>
      </c>
      <c r="E297" s="277"/>
      <c r="F297" s="277"/>
      <c r="G297" s="375" t="s">
        <v>621</v>
      </c>
      <c r="H297" s="373">
        <f>Tabella4104171819202122[[#This Row],[Valore]]*D298</f>
        <v>700</v>
      </c>
    </row>
    <row r="298" spans="1:8" ht="29" x14ac:dyDescent="0.35">
      <c r="A298" s="347" t="s">
        <v>435</v>
      </c>
      <c r="B298" s="348" t="s">
        <v>436</v>
      </c>
      <c r="C298" s="349" t="s">
        <v>397</v>
      </c>
      <c r="D298" s="366">
        <v>350</v>
      </c>
      <c r="E298" s="363"/>
      <c r="F298" s="356" t="s">
        <v>463</v>
      </c>
    </row>
    <row r="299" spans="1:8" x14ac:dyDescent="0.35">
      <c r="A299" s="349" t="s">
        <v>399</v>
      </c>
      <c r="B299" s="348" t="s">
        <v>400</v>
      </c>
      <c r="C299" s="349" t="s">
        <v>20</v>
      </c>
      <c r="D299" s="356">
        <v>1</v>
      </c>
      <c r="E299" s="277"/>
      <c r="F299" s="277"/>
    </row>
    <row r="300" spans="1:8" x14ac:dyDescent="0.35">
      <c r="A300" s="349" t="s">
        <v>401</v>
      </c>
      <c r="B300" s="348" t="s">
        <v>402</v>
      </c>
      <c r="C300" s="349" t="s">
        <v>403</v>
      </c>
      <c r="D300" s="356">
        <v>1600</v>
      </c>
      <c r="E300" s="347" t="s">
        <v>465</v>
      </c>
      <c r="F300" s="277"/>
    </row>
    <row r="301" spans="1:8" x14ac:dyDescent="0.35">
      <c r="A301" s="347" t="s">
        <v>404</v>
      </c>
      <c r="B301" s="348" t="s">
        <v>405</v>
      </c>
      <c r="C301" s="349" t="s">
        <v>406</v>
      </c>
      <c r="D301" s="349">
        <v>7.9000000000000001E-2</v>
      </c>
      <c r="E301" s="277"/>
      <c r="F301" s="277"/>
    </row>
    <row r="302" spans="1:8" ht="29" x14ac:dyDescent="0.35">
      <c r="A302" s="353" t="s">
        <v>407</v>
      </c>
      <c r="B302" s="354" t="s">
        <v>439</v>
      </c>
      <c r="C302" s="349" t="s">
        <v>406</v>
      </c>
      <c r="D302" s="360" t="s">
        <v>440</v>
      </c>
      <c r="E302" s="277"/>
      <c r="F302" s="277"/>
    </row>
    <row r="303" spans="1:8" ht="29" x14ac:dyDescent="0.35">
      <c r="A303" s="349" t="s">
        <v>409</v>
      </c>
      <c r="B303" s="348" t="s">
        <v>410</v>
      </c>
      <c r="C303" s="356" t="s">
        <v>411</v>
      </c>
      <c r="D303" s="361">
        <v>0.27</v>
      </c>
      <c r="E303" s="277"/>
      <c r="F303" s="277"/>
    </row>
    <row r="304" spans="1:8" ht="29" x14ac:dyDescent="0.35">
      <c r="A304" s="347" t="s">
        <v>412</v>
      </c>
      <c r="B304" s="348" t="s">
        <v>413</v>
      </c>
      <c r="C304" s="349" t="s">
        <v>414</v>
      </c>
      <c r="D304" s="361">
        <v>3930</v>
      </c>
      <c r="E304" s="277"/>
      <c r="F304" s="277"/>
    </row>
    <row r="305" spans="1:8" ht="29" x14ac:dyDescent="0.35">
      <c r="A305" s="347" t="s">
        <v>415</v>
      </c>
      <c r="B305" s="348" t="s">
        <v>416</v>
      </c>
      <c r="C305" s="349" t="s">
        <v>414</v>
      </c>
      <c r="D305" s="361">
        <v>2190</v>
      </c>
      <c r="E305" s="277"/>
      <c r="F305" s="277"/>
    </row>
    <row r="306" spans="1:8" ht="43.5" x14ac:dyDescent="0.35">
      <c r="A306" s="360" t="s">
        <v>417</v>
      </c>
      <c r="B306" s="354" t="s">
        <v>418</v>
      </c>
      <c r="C306" s="349" t="s">
        <v>419</v>
      </c>
      <c r="D306" s="361">
        <v>15</v>
      </c>
      <c r="E306" s="277"/>
      <c r="F306" s="277"/>
    </row>
    <row r="307" spans="1:8" ht="29" x14ac:dyDescent="0.35">
      <c r="A307" s="349" t="s">
        <v>441</v>
      </c>
      <c r="B307" s="362" t="s">
        <v>442</v>
      </c>
      <c r="C307" s="356" t="s">
        <v>443</v>
      </c>
      <c r="D307" s="361">
        <v>60</v>
      </c>
      <c r="E307" s="357"/>
      <c r="F307" s="277"/>
    </row>
    <row r="308" spans="1:8" ht="29" x14ac:dyDescent="0.35">
      <c r="A308" s="349" t="s">
        <v>444</v>
      </c>
      <c r="B308" s="362" t="s">
        <v>445</v>
      </c>
      <c r="C308" s="356" t="s">
        <v>446</v>
      </c>
      <c r="D308" s="361">
        <v>0</v>
      </c>
      <c r="E308" s="277" t="s">
        <v>447</v>
      </c>
      <c r="F308" s="277"/>
    </row>
    <row r="309" spans="1:8" ht="29" x14ac:dyDescent="0.35">
      <c r="A309" s="349" t="s">
        <v>448</v>
      </c>
      <c r="B309" s="362" t="s">
        <v>449</v>
      </c>
      <c r="C309" s="356" t="s">
        <v>443</v>
      </c>
      <c r="D309" s="361">
        <v>200</v>
      </c>
      <c r="E309" s="277"/>
      <c r="F309" s="277"/>
    </row>
    <row r="310" spans="1:8" ht="29" x14ac:dyDescent="0.35">
      <c r="A310" s="349" t="s">
        <v>450</v>
      </c>
      <c r="B310" s="362" t="s">
        <v>451</v>
      </c>
      <c r="C310" s="356" t="s">
        <v>443</v>
      </c>
      <c r="D310" s="361">
        <v>7</v>
      </c>
      <c r="E310" s="277"/>
      <c r="F310" s="277"/>
    </row>
    <row r="311" spans="1:8" ht="29" x14ac:dyDescent="0.35">
      <c r="A311" s="349" t="s">
        <v>452</v>
      </c>
      <c r="B311" s="362" t="s">
        <v>453</v>
      </c>
      <c r="C311" s="356" t="s">
        <v>454</v>
      </c>
      <c r="D311" s="359">
        <v>0</v>
      </c>
      <c r="E311" s="277"/>
      <c r="F311" s="277"/>
    </row>
    <row r="312" spans="1:8" ht="19.5" customHeight="1" thickBot="1" x14ac:dyDescent="0.4"/>
    <row r="313" spans="1:8" ht="19.5" customHeight="1" thickBot="1" x14ac:dyDescent="0.4">
      <c r="A313" s="405" t="s">
        <v>466</v>
      </c>
      <c r="B313" s="406"/>
      <c r="C313" s="406"/>
      <c r="D313" s="407"/>
    </row>
    <row r="314" spans="1:8" x14ac:dyDescent="0.35">
      <c r="A314" s="404" t="s">
        <v>432</v>
      </c>
      <c r="B314" s="404"/>
      <c r="C314" s="404"/>
      <c r="D314" s="404"/>
    </row>
    <row r="315" spans="1:8" x14ac:dyDescent="0.35">
      <c r="A315" s="325" t="s">
        <v>315</v>
      </c>
      <c r="B315" s="325" t="s">
        <v>316</v>
      </c>
      <c r="C315" s="325" t="s">
        <v>317</v>
      </c>
      <c r="D315" s="325" t="s">
        <v>318</v>
      </c>
      <c r="E315" s="325" t="s">
        <v>433</v>
      </c>
      <c r="F315" s="325" t="s">
        <v>434</v>
      </c>
      <c r="G315" s="375" t="s">
        <v>619</v>
      </c>
      <c r="H315" s="373">
        <f>D317*D321*(D324-D325)+D317*D321*D323*D325</f>
        <v>321.71940000000006</v>
      </c>
    </row>
    <row r="316" spans="1:8" x14ac:dyDescent="0.35">
      <c r="A316" s="347" t="s">
        <v>388</v>
      </c>
      <c r="B316" s="348" t="s">
        <v>389</v>
      </c>
      <c r="C316" s="349" t="s">
        <v>390</v>
      </c>
      <c r="D316" s="349" t="s">
        <v>49</v>
      </c>
      <c r="E316" s="277"/>
      <c r="F316" s="277"/>
      <c r="G316" s="375" t="s">
        <v>620</v>
      </c>
      <c r="H316" s="373">
        <f>H315*$D$430</f>
        <v>57.909492000000007</v>
      </c>
    </row>
    <row r="317" spans="1:8" x14ac:dyDescent="0.35">
      <c r="A317" s="347" t="s">
        <v>392</v>
      </c>
      <c r="B317" s="348" t="s">
        <v>393</v>
      </c>
      <c r="C317" s="349" t="s">
        <v>394</v>
      </c>
      <c r="D317" s="356">
        <v>6</v>
      </c>
      <c r="E317" s="277"/>
      <c r="F317" s="277"/>
      <c r="G317" s="375" t="s">
        <v>621</v>
      </c>
      <c r="H317" s="373">
        <f>Tabella410417181920212223[[#This Row],[Valore]]*D318</f>
        <v>1380</v>
      </c>
    </row>
    <row r="318" spans="1:8" ht="29" x14ac:dyDescent="0.35">
      <c r="A318" s="347" t="s">
        <v>435</v>
      </c>
      <c r="B318" s="348" t="s">
        <v>436</v>
      </c>
      <c r="C318" s="349" t="s">
        <v>397</v>
      </c>
      <c r="D318" s="366">
        <v>230</v>
      </c>
      <c r="E318" s="363"/>
      <c r="F318" s="358" t="s">
        <v>437</v>
      </c>
    </row>
    <row r="319" spans="1:8" x14ac:dyDescent="0.35">
      <c r="A319" s="349" t="s">
        <v>399</v>
      </c>
      <c r="B319" s="348" t="s">
        <v>400</v>
      </c>
      <c r="C319" s="349" t="s">
        <v>20</v>
      </c>
      <c r="D319" s="356">
        <v>1</v>
      </c>
      <c r="E319" s="277"/>
      <c r="F319" s="277"/>
    </row>
    <row r="320" spans="1:8" x14ac:dyDescent="0.35">
      <c r="A320" s="349" t="s">
        <v>401</v>
      </c>
      <c r="B320" s="348" t="s">
        <v>402</v>
      </c>
      <c r="C320" s="349" t="s">
        <v>403</v>
      </c>
      <c r="D320" s="356">
        <v>1600</v>
      </c>
      <c r="E320" s="347" t="s">
        <v>465</v>
      </c>
      <c r="F320" s="277"/>
    </row>
    <row r="321" spans="1:8" x14ac:dyDescent="0.35">
      <c r="A321" s="347" t="s">
        <v>404</v>
      </c>
      <c r="B321" s="348" t="s">
        <v>405</v>
      </c>
      <c r="C321" s="349" t="s">
        <v>406</v>
      </c>
      <c r="D321" s="349">
        <v>2.3E-2</v>
      </c>
      <c r="E321" s="277"/>
      <c r="F321" s="277"/>
    </row>
    <row r="322" spans="1:8" ht="29" x14ac:dyDescent="0.35">
      <c r="A322" s="353" t="s">
        <v>407</v>
      </c>
      <c r="B322" s="354" t="s">
        <v>439</v>
      </c>
      <c r="C322" s="349" t="s">
        <v>406</v>
      </c>
      <c r="D322" s="360" t="s">
        <v>440</v>
      </c>
      <c r="E322" s="277"/>
      <c r="F322" s="277"/>
    </row>
    <row r="323" spans="1:8" ht="29" x14ac:dyDescent="0.35">
      <c r="A323" s="349" t="s">
        <v>409</v>
      </c>
      <c r="B323" s="348" t="s">
        <v>410</v>
      </c>
      <c r="C323" s="356" t="s">
        <v>411</v>
      </c>
      <c r="D323" s="361">
        <v>0.27</v>
      </c>
      <c r="E323" s="277"/>
      <c r="F323" s="277"/>
    </row>
    <row r="324" spans="1:8" ht="29" x14ac:dyDescent="0.35">
      <c r="A324" s="347" t="s">
        <v>412</v>
      </c>
      <c r="B324" s="348" t="s">
        <v>413</v>
      </c>
      <c r="C324" s="349" t="s">
        <v>414</v>
      </c>
      <c r="D324" s="361">
        <v>3930</v>
      </c>
      <c r="E324" s="277"/>
      <c r="F324" s="277"/>
    </row>
    <row r="325" spans="1:8" ht="29" x14ac:dyDescent="0.35">
      <c r="A325" s="347" t="s">
        <v>415</v>
      </c>
      <c r="B325" s="348" t="s">
        <v>416</v>
      </c>
      <c r="C325" s="349" t="s">
        <v>414</v>
      </c>
      <c r="D325" s="361">
        <v>2190</v>
      </c>
      <c r="E325" s="277"/>
      <c r="F325" s="277"/>
    </row>
    <row r="326" spans="1:8" ht="43.5" x14ac:dyDescent="0.35">
      <c r="A326" s="360" t="s">
        <v>417</v>
      </c>
      <c r="B326" s="354" t="s">
        <v>418</v>
      </c>
      <c r="C326" s="349" t="s">
        <v>419</v>
      </c>
      <c r="D326" s="361">
        <v>15</v>
      </c>
      <c r="E326" s="277"/>
      <c r="F326" s="277"/>
    </row>
    <row r="327" spans="1:8" ht="29" x14ac:dyDescent="0.35">
      <c r="A327" s="349" t="s">
        <v>441</v>
      </c>
      <c r="B327" s="362" t="s">
        <v>442</v>
      </c>
      <c r="C327" s="356" t="s">
        <v>443</v>
      </c>
      <c r="D327" s="361">
        <v>60</v>
      </c>
      <c r="E327" s="357"/>
      <c r="F327" s="277"/>
    </row>
    <row r="328" spans="1:8" ht="29" x14ac:dyDescent="0.35">
      <c r="A328" s="349" t="s">
        <v>444</v>
      </c>
      <c r="B328" s="362" t="s">
        <v>445</v>
      </c>
      <c r="C328" s="356" t="s">
        <v>446</v>
      </c>
      <c r="D328" s="361">
        <v>0</v>
      </c>
      <c r="E328" s="277" t="s">
        <v>447</v>
      </c>
      <c r="F328" s="277"/>
    </row>
    <row r="329" spans="1:8" ht="29" x14ac:dyDescent="0.35">
      <c r="A329" s="349" t="s">
        <v>448</v>
      </c>
      <c r="B329" s="362" t="s">
        <v>449</v>
      </c>
      <c r="C329" s="356" t="s">
        <v>443</v>
      </c>
      <c r="D329" s="361">
        <v>200</v>
      </c>
      <c r="E329" s="277"/>
      <c r="F329" s="277"/>
    </row>
    <row r="330" spans="1:8" ht="29" x14ac:dyDescent="0.35">
      <c r="A330" s="349" t="s">
        <v>450</v>
      </c>
      <c r="B330" s="362" t="s">
        <v>451</v>
      </c>
      <c r="C330" s="356" t="s">
        <v>443</v>
      </c>
      <c r="D330" s="361">
        <v>7</v>
      </c>
      <c r="E330" s="277"/>
      <c r="F330" s="277"/>
    </row>
    <row r="331" spans="1:8" ht="29" x14ac:dyDescent="0.35">
      <c r="A331" s="349" t="s">
        <v>452</v>
      </c>
      <c r="B331" s="362" t="s">
        <v>453</v>
      </c>
      <c r="C331" s="356" t="s">
        <v>454</v>
      </c>
      <c r="D331" s="359">
        <v>0</v>
      </c>
      <c r="E331" s="277"/>
      <c r="F331" s="277"/>
    </row>
    <row r="332" spans="1:8" ht="15" thickBot="1" x14ac:dyDescent="0.4"/>
    <row r="333" spans="1:8" ht="15" thickBot="1" x14ac:dyDescent="0.4">
      <c r="A333" s="405" t="s">
        <v>467</v>
      </c>
      <c r="B333" s="406"/>
      <c r="C333" s="406"/>
      <c r="D333" s="407"/>
    </row>
    <row r="334" spans="1:8" x14ac:dyDescent="0.35">
      <c r="A334" s="404" t="s">
        <v>432</v>
      </c>
      <c r="B334" s="404"/>
      <c r="C334" s="404"/>
      <c r="D334" s="404"/>
    </row>
    <row r="335" spans="1:8" x14ac:dyDescent="0.35">
      <c r="A335" s="325" t="s">
        <v>315</v>
      </c>
      <c r="B335" s="325" t="s">
        <v>316</v>
      </c>
      <c r="C335" s="325" t="s">
        <v>317</v>
      </c>
      <c r="D335" s="325" t="s">
        <v>318</v>
      </c>
      <c r="E335" s="325" t="s">
        <v>433</v>
      </c>
      <c r="F335" s="325" t="s">
        <v>434</v>
      </c>
      <c r="G335" s="375" t="s">
        <v>619</v>
      </c>
      <c r="H335" s="373">
        <f>D337*D341*(D344-D345)+D337*D341*D343*D345</f>
        <v>160.85970000000003</v>
      </c>
    </row>
    <row r="336" spans="1:8" x14ac:dyDescent="0.35">
      <c r="A336" s="347" t="s">
        <v>388</v>
      </c>
      <c r="B336" s="348" t="s">
        <v>389</v>
      </c>
      <c r="C336" s="349" t="s">
        <v>390</v>
      </c>
      <c r="D336" s="349" t="s">
        <v>49</v>
      </c>
      <c r="E336" s="277"/>
      <c r="F336" s="277"/>
      <c r="G336" s="375" t="s">
        <v>620</v>
      </c>
      <c r="H336" s="373">
        <f>H335*$D$430</f>
        <v>28.954746000000004</v>
      </c>
    </row>
    <row r="337" spans="1:8" x14ac:dyDescent="0.35">
      <c r="A337" s="347" t="s">
        <v>392</v>
      </c>
      <c r="B337" s="348" t="s">
        <v>393</v>
      </c>
      <c r="C337" s="349" t="s">
        <v>394</v>
      </c>
      <c r="D337" s="356">
        <v>3</v>
      </c>
      <c r="E337" s="277"/>
      <c r="F337" s="277"/>
      <c r="G337" s="375" t="s">
        <v>621</v>
      </c>
      <c r="H337" s="373">
        <f>Tabella41041718192021222324[[#This Row],[Valore]]*D338</f>
        <v>690</v>
      </c>
    </row>
    <row r="338" spans="1:8" ht="29" x14ac:dyDescent="0.35">
      <c r="A338" s="347" t="s">
        <v>435</v>
      </c>
      <c r="B338" s="348" t="s">
        <v>436</v>
      </c>
      <c r="C338" s="349" t="s">
        <v>397</v>
      </c>
      <c r="D338" s="366">
        <v>230</v>
      </c>
      <c r="E338" s="363"/>
      <c r="F338" s="358" t="s">
        <v>437</v>
      </c>
    </row>
    <row r="339" spans="1:8" x14ac:dyDescent="0.35">
      <c r="A339" s="349" t="s">
        <v>399</v>
      </c>
      <c r="B339" s="348" t="s">
        <v>400</v>
      </c>
      <c r="C339" s="349" t="s">
        <v>20</v>
      </c>
      <c r="D339" s="356">
        <v>1</v>
      </c>
      <c r="E339" s="277"/>
      <c r="F339" s="277"/>
    </row>
    <row r="340" spans="1:8" x14ac:dyDescent="0.35">
      <c r="A340" s="349" t="s">
        <v>401</v>
      </c>
      <c r="B340" s="348" t="s">
        <v>402</v>
      </c>
      <c r="C340" s="349" t="s">
        <v>403</v>
      </c>
      <c r="D340" s="356">
        <v>1600</v>
      </c>
      <c r="E340" s="347" t="s">
        <v>465</v>
      </c>
      <c r="F340" s="277"/>
    </row>
    <row r="341" spans="1:8" x14ac:dyDescent="0.35">
      <c r="A341" s="347" t="s">
        <v>404</v>
      </c>
      <c r="B341" s="348" t="s">
        <v>405</v>
      </c>
      <c r="C341" s="349" t="s">
        <v>406</v>
      </c>
      <c r="D341" s="349">
        <v>2.3E-2</v>
      </c>
      <c r="E341" s="277"/>
      <c r="F341" s="277"/>
    </row>
    <row r="342" spans="1:8" ht="29" x14ac:dyDescent="0.35">
      <c r="A342" s="353" t="s">
        <v>407</v>
      </c>
      <c r="B342" s="354" t="s">
        <v>439</v>
      </c>
      <c r="C342" s="349" t="s">
        <v>406</v>
      </c>
      <c r="D342" s="360" t="s">
        <v>440</v>
      </c>
      <c r="E342" s="277"/>
      <c r="F342" s="277"/>
    </row>
    <row r="343" spans="1:8" ht="29" x14ac:dyDescent="0.35">
      <c r="A343" s="349" t="s">
        <v>409</v>
      </c>
      <c r="B343" s="348" t="s">
        <v>410</v>
      </c>
      <c r="C343" s="356" t="s">
        <v>411</v>
      </c>
      <c r="D343" s="361">
        <v>0.27</v>
      </c>
      <c r="E343" s="277"/>
      <c r="F343" s="277"/>
    </row>
    <row r="344" spans="1:8" ht="29" x14ac:dyDescent="0.35">
      <c r="A344" s="347" t="s">
        <v>412</v>
      </c>
      <c r="B344" s="348" t="s">
        <v>413</v>
      </c>
      <c r="C344" s="349" t="s">
        <v>414</v>
      </c>
      <c r="D344" s="361">
        <v>3930</v>
      </c>
      <c r="E344" s="277"/>
      <c r="F344" s="277"/>
    </row>
    <row r="345" spans="1:8" ht="29" x14ac:dyDescent="0.35">
      <c r="A345" s="347" t="s">
        <v>415</v>
      </c>
      <c r="B345" s="348" t="s">
        <v>416</v>
      </c>
      <c r="C345" s="349" t="s">
        <v>414</v>
      </c>
      <c r="D345" s="361">
        <v>2190</v>
      </c>
      <c r="E345" s="277"/>
      <c r="F345" s="277"/>
    </row>
    <row r="346" spans="1:8" ht="43.5" x14ac:dyDescent="0.35">
      <c r="A346" s="360" t="s">
        <v>417</v>
      </c>
      <c r="B346" s="354" t="s">
        <v>418</v>
      </c>
      <c r="C346" s="349" t="s">
        <v>419</v>
      </c>
      <c r="D346" s="361">
        <v>15</v>
      </c>
      <c r="E346" s="277"/>
      <c r="F346" s="277"/>
    </row>
    <row r="347" spans="1:8" ht="29" x14ac:dyDescent="0.35">
      <c r="A347" s="349" t="s">
        <v>441</v>
      </c>
      <c r="B347" s="362" t="s">
        <v>442</v>
      </c>
      <c r="C347" s="356" t="s">
        <v>443</v>
      </c>
      <c r="D347" s="361">
        <v>60</v>
      </c>
      <c r="E347" s="357"/>
      <c r="F347" s="277"/>
    </row>
    <row r="348" spans="1:8" ht="29" x14ac:dyDescent="0.35">
      <c r="A348" s="349" t="s">
        <v>444</v>
      </c>
      <c r="B348" s="362" t="s">
        <v>445</v>
      </c>
      <c r="C348" s="356" t="s">
        <v>446</v>
      </c>
      <c r="D348" s="361">
        <v>0</v>
      </c>
      <c r="E348" s="277" t="s">
        <v>447</v>
      </c>
      <c r="F348" s="277"/>
    </row>
    <row r="349" spans="1:8" ht="29" x14ac:dyDescent="0.35">
      <c r="A349" s="349" t="s">
        <v>448</v>
      </c>
      <c r="B349" s="362" t="s">
        <v>449</v>
      </c>
      <c r="C349" s="356" t="s">
        <v>443</v>
      </c>
      <c r="D349" s="361">
        <v>200</v>
      </c>
      <c r="E349" s="277"/>
      <c r="F349" s="277"/>
    </row>
    <row r="350" spans="1:8" ht="29" x14ac:dyDescent="0.35">
      <c r="A350" s="349" t="s">
        <v>450</v>
      </c>
      <c r="B350" s="362" t="s">
        <v>451</v>
      </c>
      <c r="C350" s="356" t="s">
        <v>443</v>
      </c>
      <c r="D350" s="361">
        <v>7</v>
      </c>
      <c r="E350" s="277"/>
      <c r="F350" s="277"/>
    </row>
    <row r="351" spans="1:8" ht="29" x14ac:dyDescent="0.35">
      <c r="A351" s="349" t="s">
        <v>452</v>
      </c>
      <c r="B351" s="362" t="s">
        <v>453</v>
      </c>
      <c r="C351" s="356" t="s">
        <v>454</v>
      </c>
      <c r="D351" s="359">
        <v>0</v>
      </c>
      <c r="E351" s="277"/>
      <c r="F351" s="277"/>
    </row>
    <row r="353" spans="1:8" ht="15" thickBot="1" x14ac:dyDescent="0.4"/>
    <row r="354" spans="1:8" ht="15" thickBot="1" x14ac:dyDescent="0.4">
      <c r="A354" s="405" t="s">
        <v>468</v>
      </c>
      <c r="B354" s="406"/>
      <c r="C354" s="406"/>
      <c r="D354" s="407"/>
    </row>
    <row r="355" spans="1:8" x14ac:dyDescent="0.35">
      <c r="A355" s="404" t="s">
        <v>432</v>
      </c>
      <c r="B355" s="404"/>
      <c r="C355" s="404"/>
      <c r="D355" s="404"/>
    </row>
    <row r="356" spans="1:8" x14ac:dyDescent="0.35">
      <c r="A356" s="325" t="s">
        <v>315</v>
      </c>
      <c r="B356" s="325" t="s">
        <v>316</v>
      </c>
      <c r="C356" s="325" t="s">
        <v>317</v>
      </c>
      <c r="D356" s="325" t="s">
        <v>318</v>
      </c>
      <c r="E356" s="325" t="s">
        <v>433</v>
      </c>
      <c r="F356" s="325" t="s">
        <v>434</v>
      </c>
      <c r="G356" s="375" t="s">
        <v>619</v>
      </c>
      <c r="H356" s="373">
        <f>D358*D362*(D365-D366)+D358*D362*D364*D366</f>
        <v>214.47959999999998</v>
      </c>
    </row>
    <row r="357" spans="1:8" x14ac:dyDescent="0.35">
      <c r="A357" s="347" t="s">
        <v>388</v>
      </c>
      <c r="B357" s="348" t="s">
        <v>389</v>
      </c>
      <c r="C357" s="349" t="s">
        <v>390</v>
      </c>
      <c r="D357" s="349" t="s">
        <v>49</v>
      </c>
      <c r="E357" s="277"/>
      <c r="F357" s="277"/>
      <c r="G357" s="375" t="s">
        <v>620</v>
      </c>
      <c r="H357" s="373">
        <f>H356*$D$430</f>
        <v>38.606327999999998</v>
      </c>
    </row>
    <row r="358" spans="1:8" x14ac:dyDescent="0.35">
      <c r="A358" s="347" t="s">
        <v>392</v>
      </c>
      <c r="B358" s="348" t="s">
        <v>393</v>
      </c>
      <c r="C358" s="349" t="s">
        <v>394</v>
      </c>
      <c r="D358" s="356">
        <v>4</v>
      </c>
      <c r="E358" s="277"/>
      <c r="F358" s="277"/>
      <c r="G358" s="375" t="s">
        <v>621</v>
      </c>
      <c r="H358" s="373">
        <f>Tabella4104171819202122232425[[#This Row],[Valore]]*D359</f>
        <v>920</v>
      </c>
    </row>
    <row r="359" spans="1:8" ht="29" x14ac:dyDescent="0.35">
      <c r="A359" s="347" t="s">
        <v>435</v>
      </c>
      <c r="B359" s="348" t="s">
        <v>436</v>
      </c>
      <c r="C359" s="349" t="s">
        <v>397</v>
      </c>
      <c r="D359" s="366">
        <v>230</v>
      </c>
      <c r="E359" s="363"/>
      <c r="F359" s="358" t="s">
        <v>437</v>
      </c>
    </row>
    <row r="360" spans="1:8" x14ac:dyDescent="0.35">
      <c r="A360" s="349" t="s">
        <v>399</v>
      </c>
      <c r="B360" s="348" t="s">
        <v>400</v>
      </c>
      <c r="C360" s="349" t="s">
        <v>20</v>
      </c>
      <c r="D360" s="356">
        <v>1</v>
      </c>
      <c r="E360" s="277"/>
      <c r="F360" s="277"/>
    </row>
    <row r="361" spans="1:8" x14ac:dyDescent="0.35">
      <c r="A361" s="349" t="s">
        <v>401</v>
      </c>
      <c r="B361" s="348" t="s">
        <v>402</v>
      </c>
      <c r="C361" s="349" t="s">
        <v>403</v>
      </c>
      <c r="D361" s="356">
        <v>1600</v>
      </c>
      <c r="E361" s="347" t="s">
        <v>461</v>
      </c>
      <c r="F361" s="277"/>
    </row>
    <row r="362" spans="1:8" x14ac:dyDescent="0.35">
      <c r="A362" s="347" t="s">
        <v>404</v>
      </c>
      <c r="B362" s="348" t="s">
        <v>405</v>
      </c>
      <c r="C362" s="349" t="s">
        <v>406</v>
      </c>
      <c r="D362" s="349">
        <v>2.3E-2</v>
      </c>
      <c r="E362" s="277"/>
      <c r="F362" s="277"/>
    </row>
    <row r="363" spans="1:8" ht="29" x14ac:dyDescent="0.35">
      <c r="A363" s="353" t="s">
        <v>407</v>
      </c>
      <c r="B363" s="354" t="s">
        <v>439</v>
      </c>
      <c r="C363" s="349" t="s">
        <v>406</v>
      </c>
      <c r="D363" s="360" t="s">
        <v>440</v>
      </c>
      <c r="E363" s="277"/>
      <c r="F363" s="277"/>
    </row>
    <row r="364" spans="1:8" ht="29" x14ac:dyDescent="0.35">
      <c r="A364" s="349" t="s">
        <v>409</v>
      </c>
      <c r="B364" s="348" t="s">
        <v>410</v>
      </c>
      <c r="C364" s="356" t="s">
        <v>411</v>
      </c>
      <c r="D364" s="361">
        <v>0.27</v>
      </c>
      <c r="E364" s="277"/>
      <c r="F364" s="277"/>
    </row>
    <row r="365" spans="1:8" ht="29" x14ac:dyDescent="0.35">
      <c r="A365" s="347" t="s">
        <v>412</v>
      </c>
      <c r="B365" s="348" t="s">
        <v>413</v>
      </c>
      <c r="C365" s="349" t="s">
        <v>414</v>
      </c>
      <c r="D365" s="361">
        <v>3930</v>
      </c>
      <c r="E365" s="277"/>
      <c r="F365" s="277"/>
    </row>
    <row r="366" spans="1:8" ht="29" x14ac:dyDescent="0.35">
      <c r="A366" s="347" t="s">
        <v>415</v>
      </c>
      <c r="B366" s="348" t="s">
        <v>416</v>
      </c>
      <c r="C366" s="349" t="s">
        <v>414</v>
      </c>
      <c r="D366" s="361">
        <v>2190</v>
      </c>
      <c r="E366" s="277"/>
      <c r="F366" s="277"/>
    </row>
    <row r="367" spans="1:8" ht="43.5" x14ac:dyDescent="0.35">
      <c r="A367" s="360" t="s">
        <v>417</v>
      </c>
      <c r="B367" s="354" t="s">
        <v>418</v>
      </c>
      <c r="C367" s="349" t="s">
        <v>419</v>
      </c>
      <c r="D367" s="361">
        <v>15</v>
      </c>
      <c r="E367" s="277"/>
      <c r="F367" s="277"/>
    </row>
    <row r="368" spans="1:8" ht="29" x14ac:dyDescent="0.35">
      <c r="A368" s="349" t="s">
        <v>441</v>
      </c>
      <c r="B368" s="362" t="s">
        <v>442</v>
      </c>
      <c r="C368" s="356" t="s">
        <v>443</v>
      </c>
      <c r="D368" s="361">
        <v>60</v>
      </c>
      <c r="E368" s="357"/>
      <c r="F368" s="277"/>
    </row>
    <row r="369" spans="1:8" ht="29" x14ac:dyDescent="0.35">
      <c r="A369" s="349" t="s">
        <v>444</v>
      </c>
      <c r="B369" s="362" t="s">
        <v>445</v>
      </c>
      <c r="C369" s="356" t="s">
        <v>446</v>
      </c>
      <c r="D369" s="361">
        <v>0</v>
      </c>
      <c r="E369" s="277" t="s">
        <v>447</v>
      </c>
      <c r="F369" s="277"/>
      <c r="G369" s="71" t="s">
        <v>625</v>
      </c>
      <c r="H369" s="71">
        <f>D177+D197+D217+D237+D257+D277+D297+D317+D337+D358</f>
        <v>139</v>
      </c>
    </row>
    <row r="370" spans="1:8" ht="29" x14ac:dyDescent="0.35">
      <c r="A370" s="349" t="s">
        <v>448</v>
      </c>
      <c r="B370" s="362" t="s">
        <v>449</v>
      </c>
      <c r="C370" s="356" t="s">
        <v>443</v>
      </c>
      <c r="D370" s="361">
        <v>200</v>
      </c>
      <c r="E370" s="277"/>
      <c r="F370" s="277"/>
      <c r="G370" s="375" t="s">
        <v>622</v>
      </c>
      <c r="H370" s="374">
        <f>H175+H195+H215+H235+H255+H275+H295+H315+H335+H356</f>
        <v>12348.8961</v>
      </c>
    </row>
    <row r="371" spans="1:8" ht="29" x14ac:dyDescent="0.35">
      <c r="A371" s="349" t="s">
        <v>450</v>
      </c>
      <c r="B371" s="362" t="s">
        <v>451</v>
      </c>
      <c r="C371" s="356" t="s">
        <v>443</v>
      </c>
      <c r="D371" s="361">
        <v>7</v>
      </c>
      <c r="E371" s="277"/>
      <c r="F371" s="277"/>
      <c r="G371" s="375" t="s">
        <v>623</v>
      </c>
      <c r="H371" s="374">
        <f t="shared" ref="H371:H372" si="0">H176+H196+H216+H236+H256+H276+H296+H316+H336+H357</f>
        <v>2222.8012979999999</v>
      </c>
    </row>
    <row r="372" spans="1:8" ht="29" x14ac:dyDescent="0.35">
      <c r="A372" s="349" t="s">
        <v>452</v>
      </c>
      <c r="B372" s="362" t="s">
        <v>453</v>
      </c>
      <c r="C372" s="356" t="s">
        <v>454</v>
      </c>
      <c r="D372" s="359">
        <v>0</v>
      </c>
      <c r="E372" s="277"/>
      <c r="F372" s="277"/>
      <c r="G372" s="375" t="s">
        <v>624</v>
      </c>
      <c r="H372" s="374">
        <f t="shared" si="0"/>
        <v>33170</v>
      </c>
    </row>
    <row r="374" spans="1:8" x14ac:dyDescent="0.35">
      <c r="A374" s="349"/>
      <c r="B374" s="362"/>
      <c r="C374" s="277"/>
      <c r="D374" s="277"/>
    </row>
    <row r="375" spans="1:8" x14ac:dyDescent="0.35">
      <c r="A375" s="408" t="s">
        <v>469</v>
      </c>
      <c r="B375" s="408"/>
      <c r="C375" s="408"/>
      <c r="D375" s="367"/>
    </row>
    <row r="376" spans="1:8" x14ac:dyDescent="0.35">
      <c r="A376" s="325" t="s">
        <v>315</v>
      </c>
      <c r="B376" s="325" t="s">
        <v>316</v>
      </c>
      <c r="C376" s="325" t="s">
        <v>317</v>
      </c>
      <c r="D376" s="325" t="s">
        <v>318</v>
      </c>
    </row>
    <row r="377" spans="1:8" ht="261" x14ac:dyDescent="0.35">
      <c r="A377" s="347" t="s">
        <v>470</v>
      </c>
      <c r="B377" s="362" t="s">
        <v>471</v>
      </c>
      <c r="C377" s="349" t="s">
        <v>390</v>
      </c>
      <c r="D377" s="356" t="s">
        <v>472</v>
      </c>
    </row>
    <row r="378" spans="1:8" ht="29" x14ac:dyDescent="0.35">
      <c r="A378" s="347" t="s">
        <v>473</v>
      </c>
      <c r="B378" s="362" t="s">
        <v>474</v>
      </c>
      <c r="C378" s="349" t="s">
        <v>443</v>
      </c>
      <c r="D378" s="277"/>
      <c r="E378" s="365" t="s">
        <v>475</v>
      </c>
    </row>
    <row r="379" spans="1:8" ht="29" x14ac:dyDescent="0.35">
      <c r="A379" s="347" t="s">
        <v>476</v>
      </c>
      <c r="B379" s="362" t="s">
        <v>477</v>
      </c>
      <c r="C379" s="356" t="s">
        <v>478</v>
      </c>
      <c r="D379" s="356">
        <v>10</v>
      </c>
      <c r="E379" s="402" t="s">
        <v>479</v>
      </c>
    </row>
    <row r="380" spans="1:8" ht="29" x14ac:dyDescent="0.35">
      <c r="A380" s="349" t="s">
        <v>480</v>
      </c>
      <c r="B380" s="362" t="s">
        <v>481</v>
      </c>
      <c r="C380" s="349" t="s">
        <v>443</v>
      </c>
      <c r="D380" s="356">
        <v>400</v>
      </c>
      <c r="E380" s="402"/>
    </row>
    <row r="381" spans="1:8" ht="58" x14ac:dyDescent="0.35">
      <c r="A381" s="347" t="s">
        <v>482</v>
      </c>
      <c r="B381" s="362" t="s">
        <v>483</v>
      </c>
      <c r="C381" s="360" t="s">
        <v>484</v>
      </c>
      <c r="D381" s="356">
        <v>3</v>
      </c>
      <c r="E381" s="402"/>
    </row>
    <row r="382" spans="1:8" ht="58" x14ac:dyDescent="0.35">
      <c r="A382" s="347" t="s">
        <v>485</v>
      </c>
      <c r="B382" s="368" t="s">
        <v>486</v>
      </c>
      <c r="C382" s="356" t="s">
        <v>487</v>
      </c>
      <c r="D382" s="356">
        <v>0</v>
      </c>
      <c r="E382" s="402"/>
    </row>
    <row r="383" spans="1:8" ht="29" x14ac:dyDescent="0.35">
      <c r="A383" s="349" t="s">
        <v>488</v>
      </c>
      <c r="B383" s="362" t="s">
        <v>489</v>
      </c>
      <c r="C383" s="349" t="s">
        <v>443</v>
      </c>
      <c r="D383" s="356"/>
      <c r="E383" s="402"/>
    </row>
    <row r="384" spans="1:8" ht="58" x14ac:dyDescent="0.35">
      <c r="A384" s="347" t="s">
        <v>490</v>
      </c>
      <c r="B384" s="368" t="s">
        <v>491</v>
      </c>
      <c r="C384" s="356" t="s">
        <v>487</v>
      </c>
      <c r="D384" s="356">
        <v>0</v>
      </c>
      <c r="E384" s="402"/>
    </row>
    <row r="385" spans="1:6" ht="29" x14ac:dyDescent="0.35">
      <c r="A385" s="349" t="s">
        <v>492</v>
      </c>
      <c r="B385" s="362" t="s">
        <v>493</v>
      </c>
      <c r="C385" s="349" t="s">
        <v>443</v>
      </c>
      <c r="D385" s="356"/>
      <c r="E385" s="402"/>
    </row>
    <row r="386" spans="1:6" ht="101.5" x14ac:dyDescent="0.35">
      <c r="A386" s="347" t="s">
        <v>494</v>
      </c>
      <c r="B386" s="368" t="s">
        <v>495</v>
      </c>
      <c r="C386" s="356" t="s">
        <v>487</v>
      </c>
      <c r="D386" s="356">
        <v>10</v>
      </c>
      <c r="E386" s="402"/>
    </row>
    <row r="387" spans="1:6" ht="29" x14ac:dyDescent="0.35">
      <c r="A387" s="349" t="s">
        <v>496</v>
      </c>
      <c r="B387" s="362" t="s">
        <v>497</v>
      </c>
      <c r="C387" s="349" t="s">
        <v>443</v>
      </c>
      <c r="D387" s="356">
        <v>2500</v>
      </c>
      <c r="E387" s="402"/>
    </row>
    <row r="388" spans="1:6" ht="58" x14ac:dyDescent="0.35">
      <c r="A388" s="347" t="s">
        <v>498</v>
      </c>
      <c r="B388" s="368" t="s">
        <v>499</v>
      </c>
      <c r="C388" s="356" t="s">
        <v>478</v>
      </c>
      <c r="D388" s="356">
        <v>1</v>
      </c>
      <c r="E388" s="402" t="s">
        <v>500</v>
      </c>
      <c r="F388" s="369" t="s">
        <v>501</v>
      </c>
    </row>
    <row r="389" spans="1:6" ht="43.5" x14ac:dyDescent="0.35">
      <c r="A389" s="349" t="s">
        <v>502</v>
      </c>
      <c r="B389" s="362" t="s">
        <v>503</v>
      </c>
      <c r="C389" s="349" t="s">
        <v>443</v>
      </c>
      <c r="D389" s="356">
        <v>700</v>
      </c>
      <c r="E389" s="402"/>
    </row>
    <row r="390" spans="1:6" ht="72.5" x14ac:dyDescent="0.35">
      <c r="A390" s="347" t="s">
        <v>504</v>
      </c>
      <c r="B390" s="362" t="s">
        <v>505</v>
      </c>
      <c r="C390" s="349" t="s">
        <v>443</v>
      </c>
      <c r="D390" s="356">
        <v>0.5</v>
      </c>
      <c r="E390" s="402"/>
      <c r="F390" s="369" t="s">
        <v>506</v>
      </c>
    </row>
    <row r="391" spans="1:6" x14ac:dyDescent="0.35">
      <c r="A391" s="349"/>
      <c r="B391" s="362"/>
      <c r="C391" s="277"/>
      <c r="D391" s="277"/>
      <c r="E391" s="358"/>
    </row>
    <row r="392" spans="1:6" x14ac:dyDescent="0.35">
      <c r="A392" s="349"/>
      <c r="B392" s="362"/>
      <c r="C392" s="277"/>
      <c r="D392" s="277"/>
      <c r="E392" s="358"/>
    </row>
    <row r="393" spans="1:6" x14ac:dyDescent="0.35">
      <c r="A393" s="349"/>
      <c r="B393" s="362"/>
      <c r="C393" s="277"/>
      <c r="D393" s="277"/>
    </row>
    <row r="394" spans="1:6" x14ac:dyDescent="0.35">
      <c r="A394" s="409" t="s">
        <v>507</v>
      </c>
      <c r="B394" s="409"/>
      <c r="C394" s="409"/>
      <c r="D394" s="370"/>
    </row>
    <row r="395" spans="1:6" x14ac:dyDescent="0.35">
      <c r="A395" s="325" t="s">
        <v>315</v>
      </c>
      <c r="B395" s="325" t="s">
        <v>316</v>
      </c>
      <c r="C395" s="325" t="s">
        <v>317</v>
      </c>
      <c r="D395" s="325" t="s">
        <v>318</v>
      </c>
    </row>
    <row r="396" spans="1:6" ht="43.5" x14ac:dyDescent="0.35">
      <c r="A396" s="347" t="s">
        <v>508</v>
      </c>
      <c r="B396" s="362" t="s">
        <v>509</v>
      </c>
      <c r="C396" s="349" t="s">
        <v>390</v>
      </c>
      <c r="D396" s="356" t="s">
        <v>510</v>
      </c>
      <c r="E396" s="403" t="s">
        <v>199</v>
      </c>
    </row>
    <row r="397" spans="1:6" ht="29" x14ac:dyDescent="0.35">
      <c r="A397" s="347" t="s">
        <v>511</v>
      </c>
      <c r="B397" s="362" t="s">
        <v>512</v>
      </c>
      <c r="C397" s="349" t="s">
        <v>443</v>
      </c>
      <c r="D397" s="356" t="s">
        <v>510</v>
      </c>
      <c r="E397" s="403"/>
    </row>
    <row r="398" spans="1:6" ht="29" x14ac:dyDescent="0.35">
      <c r="A398" s="347" t="s">
        <v>513</v>
      </c>
      <c r="B398" s="362" t="s">
        <v>514</v>
      </c>
      <c r="C398" s="356" t="s">
        <v>478</v>
      </c>
      <c r="D398" s="277"/>
      <c r="E398" s="403" t="s">
        <v>515</v>
      </c>
      <c r="F398" s="402" t="s">
        <v>516</v>
      </c>
    </row>
    <row r="399" spans="1:6" ht="43.5" x14ac:dyDescent="0.35">
      <c r="A399" s="347" t="s">
        <v>485</v>
      </c>
      <c r="B399" s="368" t="s">
        <v>517</v>
      </c>
      <c r="C399" s="356" t="s">
        <v>487</v>
      </c>
      <c r="D399" s="277"/>
      <c r="E399" s="403"/>
      <c r="F399" s="402"/>
    </row>
    <row r="400" spans="1:6" ht="58" x14ac:dyDescent="0.35">
      <c r="A400" s="347" t="s">
        <v>490</v>
      </c>
      <c r="B400" s="368" t="s">
        <v>518</v>
      </c>
      <c r="C400" s="356" t="s">
        <v>487</v>
      </c>
      <c r="D400" s="277"/>
      <c r="E400" s="403"/>
      <c r="F400" s="402"/>
    </row>
    <row r="401" spans="1:6" ht="72.5" x14ac:dyDescent="0.35">
      <c r="A401" s="347" t="s">
        <v>494</v>
      </c>
      <c r="B401" s="368" t="s">
        <v>519</v>
      </c>
      <c r="C401" s="356" t="s">
        <v>487</v>
      </c>
      <c r="D401" s="356">
        <v>10</v>
      </c>
      <c r="E401" s="403"/>
      <c r="F401" s="402"/>
    </row>
    <row r="402" spans="1:6" ht="29" x14ac:dyDescent="0.35">
      <c r="A402" s="347" t="s">
        <v>520</v>
      </c>
      <c r="B402" s="368" t="s">
        <v>521</v>
      </c>
      <c r="C402" s="360" t="s">
        <v>522</v>
      </c>
      <c r="D402" s="356">
        <v>80</v>
      </c>
      <c r="E402" s="403"/>
      <c r="F402" s="365"/>
    </row>
    <row r="403" spans="1:6" ht="58" x14ac:dyDescent="0.35">
      <c r="A403" s="347" t="s">
        <v>523</v>
      </c>
      <c r="B403" s="368" t="s">
        <v>524</v>
      </c>
      <c r="C403" s="360" t="s">
        <v>522</v>
      </c>
      <c r="D403" s="356">
        <v>80</v>
      </c>
      <c r="E403" s="403"/>
      <c r="F403" s="365"/>
    </row>
    <row r="404" spans="1:6" ht="29" x14ac:dyDescent="0.35">
      <c r="A404" s="347" t="s">
        <v>525</v>
      </c>
      <c r="B404" s="362" t="s">
        <v>526</v>
      </c>
      <c r="C404" s="356" t="s">
        <v>478</v>
      </c>
      <c r="D404" s="356">
        <v>0</v>
      </c>
      <c r="E404" s="403" t="s">
        <v>286</v>
      </c>
    </row>
    <row r="405" spans="1:6" ht="29" x14ac:dyDescent="0.35">
      <c r="A405" s="347" t="s">
        <v>527</v>
      </c>
      <c r="B405" s="362" t="s">
        <v>528</v>
      </c>
      <c r="C405" s="356" t="s">
        <v>487</v>
      </c>
      <c r="D405" s="356">
        <v>0</v>
      </c>
      <c r="E405" s="403"/>
    </row>
    <row r="406" spans="1:6" x14ac:dyDescent="0.35">
      <c r="A406" s="347" t="s">
        <v>529</v>
      </c>
      <c r="B406" s="362" t="s">
        <v>530</v>
      </c>
      <c r="C406" s="356" t="s">
        <v>531</v>
      </c>
      <c r="D406" s="356">
        <v>0</v>
      </c>
      <c r="E406" s="403"/>
    </row>
    <row r="407" spans="1:6" ht="43.5" x14ac:dyDescent="0.35">
      <c r="A407" s="347" t="s">
        <v>532</v>
      </c>
      <c r="B407" s="368" t="s">
        <v>533</v>
      </c>
      <c r="C407" s="349" t="s">
        <v>443</v>
      </c>
      <c r="D407" s="277">
        <v>0</v>
      </c>
      <c r="E407" s="403"/>
    </row>
    <row r="408" spans="1:6" ht="43.5" x14ac:dyDescent="0.35">
      <c r="A408" s="347" t="s">
        <v>534</v>
      </c>
      <c r="B408" s="368" t="s">
        <v>535</v>
      </c>
      <c r="C408" s="349" t="s">
        <v>443</v>
      </c>
      <c r="D408" s="277">
        <v>0</v>
      </c>
      <c r="E408" s="403"/>
    </row>
    <row r="409" spans="1:6" ht="43.5" x14ac:dyDescent="0.35">
      <c r="A409" s="347" t="s">
        <v>536</v>
      </c>
      <c r="B409" s="362" t="s">
        <v>537</v>
      </c>
      <c r="C409" s="356" t="s">
        <v>478</v>
      </c>
      <c r="D409" s="277">
        <v>0</v>
      </c>
      <c r="E409" s="403" t="s">
        <v>538</v>
      </c>
    </row>
    <row r="410" spans="1:6" ht="43.5" x14ac:dyDescent="0.35">
      <c r="A410" s="347" t="s">
        <v>539</v>
      </c>
      <c r="B410" s="362" t="s">
        <v>540</v>
      </c>
      <c r="C410" s="356" t="s">
        <v>478</v>
      </c>
      <c r="D410" s="277">
        <v>0</v>
      </c>
      <c r="E410" s="403"/>
    </row>
    <row r="411" spans="1:6" x14ac:dyDescent="0.35">
      <c r="A411" s="347" t="s">
        <v>541</v>
      </c>
      <c r="B411" s="362" t="s">
        <v>542</v>
      </c>
      <c r="C411" s="356" t="s">
        <v>543</v>
      </c>
      <c r="D411" s="277">
        <v>0</v>
      </c>
      <c r="E411" s="403"/>
    </row>
    <row r="412" spans="1:6" ht="43.5" x14ac:dyDescent="0.35">
      <c r="A412" s="347" t="s">
        <v>544</v>
      </c>
      <c r="B412" s="368" t="s">
        <v>545</v>
      </c>
      <c r="C412" s="349" t="s">
        <v>443</v>
      </c>
      <c r="D412" s="277">
        <v>0</v>
      </c>
      <c r="E412" s="403"/>
    </row>
    <row r="413" spans="1:6" ht="43.5" x14ac:dyDescent="0.35">
      <c r="A413" s="347" t="s">
        <v>546</v>
      </c>
      <c r="B413" s="368" t="s">
        <v>547</v>
      </c>
      <c r="C413" s="349" t="s">
        <v>443</v>
      </c>
      <c r="D413" s="277">
        <v>0</v>
      </c>
      <c r="E413" s="403"/>
    </row>
    <row r="414" spans="1:6" ht="29" x14ac:dyDescent="0.35">
      <c r="A414" s="347" t="s">
        <v>548</v>
      </c>
      <c r="B414" s="362" t="s">
        <v>549</v>
      </c>
      <c r="C414" s="356" t="s">
        <v>487</v>
      </c>
      <c r="D414" s="277">
        <v>0</v>
      </c>
      <c r="E414" s="403" t="s">
        <v>550</v>
      </c>
    </row>
    <row r="415" spans="1:6" ht="29" x14ac:dyDescent="0.35">
      <c r="A415" s="347" t="s">
        <v>551</v>
      </c>
      <c r="B415" s="368" t="s">
        <v>552</v>
      </c>
      <c r="C415" s="349" t="s">
        <v>443</v>
      </c>
      <c r="D415" s="277">
        <v>0</v>
      </c>
      <c r="E415" s="403"/>
    </row>
    <row r="416" spans="1:6" x14ac:dyDescent="0.35">
      <c r="A416" s="347" t="s">
        <v>553</v>
      </c>
      <c r="B416" s="362" t="s">
        <v>554</v>
      </c>
      <c r="C416" s="356" t="s">
        <v>555</v>
      </c>
      <c r="D416" s="277">
        <v>1</v>
      </c>
      <c r="E416" s="403" t="s">
        <v>556</v>
      </c>
    </row>
    <row r="417" spans="1:5" x14ac:dyDescent="0.35">
      <c r="A417" s="347" t="s">
        <v>557</v>
      </c>
      <c r="B417" s="362" t="s">
        <v>558</v>
      </c>
      <c r="C417" s="356" t="s">
        <v>559</v>
      </c>
      <c r="D417" s="277">
        <v>1</v>
      </c>
      <c r="E417" s="403"/>
    </row>
    <row r="418" spans="1:5" ht="29" x14ac:dyDescent="0.35">
      <c r="A418" s="347" t="s">
        <v>560</v>
      </c>
      <c r="B418" s="368" t="s">
        <v>561</v>
      </c>
      <c r="C418" s="349" t="s">
        <v>443</v>
      </c>
      <c r="D418" s="277">
        <v>5000</v>
      </c>
      <c r="E418" s="403"/>
    </row>
    <row r="419" spans="1:5" x14ac:dyDescent="0.35">
      <c r="A419" s="347" t="s">
        <v>562</v>
      </c>
      <c r="B419" s="362" t="s">
        <v>563</v>
      </c>
      <c r="C419" s="356" t="s">
        <v>564</v>
      </c>
      <c r="D419" s="277">
        <v>0</v>
      </c>
      <c r="E419" s="403" t="s">
        <v>291</v>
      </c>
    </row>
    <row r="420" spans="1:5" x14ac:dyDescent="0.35">
      <c r="A420" s="347" t="s">
        <v>565</v>
      </c>
      <c r="B420" s="362" t="s">
        <v>566</v>
      </c>
      <c r="C420" s="356" t="s">
        <v>567</v>
      </c>
      <c r="D420" s="277">
        <v>0</v>
      </c>
      <c r="E420" s="403"/>
    </row>
    <row r="421" spans="1:5" ht="29" x14ac:dyDescent="0.35">
      <c r="A421" s="347" t="s">
        <v>568</v>
      </c>
      <c r="B421" s="368" t="s">
        <v>569</v>
      </c>
      <c r="C421" s="349" t="s">
        <v>443</v>
      </c>
      <c r="D421" s="277">
        <v>0</v>
      </c>
      <c r="E421" s="403"/>
    </row>
    <row r="422" spans="1:5" x14ac:dyDescent="0.35">
      <c r="A422" s="347" t="s">
        <v>570</v>
      </c>
      <c r="B422" s="362" t="s">
        <v>571</v>
      </c>
      <c r="C422" s="356" t="s">
        <v>572</v>
      </c>
      <c r="D422" s="277">
        <v>0</v>
      </c>
      <c r="E422" s="403" t="s">
        <v>292</v>
      </c>
    </row>
    <row r="423" spans="1:5" ht="29" x14ac:dyDescent="0.35">
      <c r="A423" s="347" t="s">
        <v>573</v>
      </c>
      <c r="B423" s="368" t="s">
        <v>574</v>
      </c>
      <c r="C423" s="349" t="s">
        <v>443</v>
      </c>
      <c r="D423" s="277">
        <v>0</v>
      </c>
      <c r="E423" s="403"/>
    </row>
    <row r="427" spans="1:5" ht="25.5" customHeight="1" x14ac:dyDescent="0.35">
      <c r="A427" s="400" t="s">
        <v>575</v>
      </c>
      <c r="B427" s="400"/>
      <c r="C427" s="400"/>
      <c r="D427" s="400"/>
    </row>
    <row r="428" spans="1:5" ht="21.65" customHeight="1" x14ac:dyDescent="0.35">
      <c r="A428" s="325" t="s">
        <v>315</v>
      </c>
      <c r="B428" s="325" t="s">
        <v>316</v>
      </c>
      <c r="C428" s="325" t="s">
        <v>317</v>
      </c>
      <c r="D428" s="325" t="s">
        <v>318</v>
      </c>
      <c r="E428" s="325" t="s">
        <v>576</v>
      </c>
    </row>
    <row r="429" spans="1:5" ht="29" x14ac:dyDescent="0.35">
      <c r="A429" s="349" t="s">
        <v>23</v>
      </c>
      <c r="B429" s="362" t="s">
        <v>577</v>
      </c>
      <c r="C429" s="356" t="s">
        <v>411</v>
      </c>
      <c r="D429" s="356"/>
      <c r="E429" s="277"/>
    </row>
    <row r="430" spans="1:5" x14ac:dyDescent="0.35">
      <c r="A430" s="347" t="s">
        <v>578</v>
      </c>
      <c r="B430" s="362" t="s">
        <v>579</v>
      </c>
      <c r="C430" s="356" t="s">
        <v>580</v>
      </c>
      <c r="D430" s="356">
        <v>0.18</v>
      </c>
      <c r="E430" s="277"/>
    </row>
    <row r="431" spans="1:5" ht="43.5" x14ac:dyDescent="0.35">
      <c r="A431" s="349" t="s">
        <v>581</v>
      </c>
      <c r="B431" s="362" t="s">
        <v>582</v>
      </c>
      <c r="C431" s="356" t="s">
        <v>419</v>
      </c>
      <c r="D431" s="356">
        <v>5</v>
      </c>
      <c r="E431" s="277"/>
    </row>
    <row r="432" spans="1:5" ht="29" x14ac:dyDescent="0.35">
      <c r="A432" s="349" t="s">
        <v>583</v>
      </c>
      <c r="B432" s="362" t="s">
        <v>584</v>
      </c>
      <c r="C432" s="356" t="s">
        <v>585</v>
      </c>
      <c r="D432" s="356">
        <v>100</v>
      </c>
      <c r="E432" s="371" t="s">
        <v>586</v>
      </c>
    </row>
    <row r="433" spans="1:5" x14ac:dyDescent="0.35">
      <c r="A433" s="347" t="s">
        <v>587</v>
      </c>
      <c r="B433" s="362" t="s">
        <v>588</v>
      </c>
      <c r="C433" s="356" t="s">
        <v>419</v>
      </c>
      <c r="D433" s="356">
        <v>8</v>
      </c>
      <c r="E433" s="277"/>
    </row>
    <row r="434" spans="1:5" ht="43.5" x14ac:dyDescent="0.35">
      <c r="A434" s="347" t="s">
        <v>589</v>
      </c>
      <c r="B434" s="362" t="s">
        <v>590</v>
      </c>
      <c r="C434" s="349" t="s">
        <v>390</v>
      </c>
      <c r="D434" s="356" t="s">
        <v>510</v>
      </c>
      <c r="E434" s="372"/>
    </row>
    <row r="435" spans="1:5" ht="29" x14ac:dyDescent="0.35">
      <c r="A435" s="349" t="s">
        <v>591</v>
      </c>
      <c r="B435" s="362" t="s">
        <v>592</v>
      </c>
      <c r="C435" s="356" t="s">
        <v>454</v>
      </c>
      <c r="D435" s="356">
        <v>5</v>
      </c>
      <c r="E435" s="277"/>
    </row>
    <row r="436" spans="1:5" ht="43.5" x14ac:dyDescent="0.35">
      <c r="A436" s="347" t="s">
        <v>593</v>
      </c>
      <c r="B436" s="362" t="s">
        <v>594</v>
      </c>
      <c r="C436" s="356" t="s">
        <v>454</v>
      </c>
      <c r="D436" s="356">
        <v>80</v>
      </c>
      <c r="E436" s="277"/>
    </row>
    <row r="437" spans="1:5" ht="29" x14ac:dyDescent="0.35">
      <c r="A437" s="349" t="s">
        <v>595</v>
      </c>
      <c r="B437" s="362" t="s">
        <v>596</v>
      </c>
      <c r="C437" s="356" t="s">
        <v>454</v>
      </c>
      <c r="D437" s="356"/>
      <c r="E437" s="277"/>
    </row>
    <row r="438" spans="1:5" x14ac:dyDescent="0.35">
      <c r="A438" s="349"/>
      <c r="B438" s="362"/>
      <c r="C438" s="277"/>
      <c r="D438" s="277"/>
    </row>
    <row r="439" spans="1:5" x14ac:dyDescent="0.35">
      <c r="A439" s="349"/>
      <c r="B439" s="362"/>
      <c r="C439" s="277"/>
      <c r="D439" s="277"/>
    </row>
    <row r="441" spans="1:5" ht="26.15" customHeight="1" x14ac:dyDescent="0.35">
      <c r="A441" s="401" t="s">
        <v>597</v>
      </c>
      <c r="B441" s="401"/>
      <c r="C441" s="401"/>
      <c r="D441" s="401"/>
    </row>
    <row r="442" spans="1:5" ht="21.65" customHeight="1" x14ac:dyDescent="0.35">
      <c r="A442" s="325" t="s">
        <v>315</v>
      </c>
      <c r="B442" s="325" t="s">
        <v>316</v>
      </c>
      <c r="C442" s="325" t="s">
        <v>317</v>
      </c>
      <c r="D442" s="325" t="s">
        <v>318</v>
      </c>
    </row>
    <row r="443" spans="1:5" x14ac:dyDescent="0.35">
      <c r="A443" s="347" t="s">
        <v>598</v>
      </c>
      <c r="B443" s="365" t="s">
        <v>599</v>
      </c>
      <c r="C443" s="349" t="s">
        <v>390</v>
      </c>
      <c r="D443" s="277" t="s">
        <v>600</v>
      </c>
    </row>
    <row r="444" spans="1:5" x14ac:dyDescent="0.35">
      <c r="A444" s="347" t="s">
        <v>601</v>
      </c>
      <c r="B444" s="365" t="s">
        <v>602</v>
      </c>
      <c r="C444" s="356" t="s">
        <v>419</v>
      </c>
      <c r="D444" s="356">
        <v>15</v>
      </c>
    </row>
    <row r="445" spans="1:5" ht="29" x14ac:dyDescent="0.35">
      <c r="A445" s="347" t="s">
        <v>603</v>
      </c>
      <c r="B445" s="365" t="s">
        <v>604</v>
      </c>
      <c r="C445" s="356" t="s">
        <v>411</v>
      </c>
      <c r="D445" s="356">
        <v>0</v>
      </c>
    </row>
    <row r="446" spans="1:5" ht="29" x14ac:dyDescent="0.35">
      <c r="A446" s="347" t="s">
        <v>605</v>
      </c>
      <c r="B446" s="368" t="s">
        <v>606</v>
      </c>
      <c r="C446" s="356" t="s">
        <v>411</v>
      </c>
      <c r="D446" s="356">
        <v>100</v>
      </c>
    </row>
    <row r="447" spans="1:5" ht="43.5" x14ac:dyDescent="0.35">
      <c r="A447" s="347" t="s">
        <v>607</v>
      </c>
      <c r="B447" s="365" t="s">
        <v>608</v>
      </c>
      <c r="C447" s="356" t="s">
        <v>411</v>
      </c>
      <c r="D447" s="356">
        <v>0</v>
      </c>
    </row>
    <row r="448" spans="1:5" ht="43.5" x14ac:dyDescent="0.35">
      <c r="A448" s="347" t="s">
        <v>609</v>
      </c>
      <c r="B448" s="365" t="s">
        <v>610</v>
      </c>
      <c r="C448" s="356" t="s">
        <v>611</v>
      </c>
      <c r="D448" s="356"/>
      <c r="E448" s="402" t="s">
        <v>612</v>
      </c>
    </row>
    <row r="449" spans="1:5" ht="29" x14ac:dyDescent="0.35">
      <c r="A449" s="347" t="s">
        <v>613</v>
      </c>
      <c r="B449" s="365" t="s">
        <v>614</v>
      </c>
      <c r="C449" s="356" t="s">
        <v>411</v>
      </c>
      <c r="D449" s="356"/>
      <c r="E449" s="402"/>
    </row>
    <row r="450" spans="1:5" x14ac:dyDescent="0.35">
      <c r="A450" s="356"/>
      <c r="B450" s="356"/>
      <c r="C450" s="277"/>
      <c r="D450" s="277"/>
    </row>
  </sheetData>
  <dataConsolidate/>
  <mergeCells count="57">
    <mergeCell ref="A92:D92"/>
    <mergeCell ref="A1:F1"/>
    <mergeCell ref="E2:F2"/>
    <mergeCell ref="A24:F24"/>
    <mergeCell ref="A26:D26"/>
    <mergeCell ref="A27:D27"/>
    <mergeCell ref="A43:D43"/>
    <mergeCell ref="A44:D44"/>
    <mergeCell ref="A59:D59"/>
    <mergeCell ref="A60:D60"/>
    <mergeCell ref="A76:D76"/>
    <mergeCell ref="A77:D77"/>
    <mergeCell ref="A193:D193"/>
    <mergeCell ref="A93:D93"/>
    <mergeCell ref="A108:D108"/>
    <mergeCell ref="A109:D109"/>
    <mergeCell ref="A124:D124"/>
    <mergeCell ref="A125:D125"/>
    <mergeCell ref="A141:D141"/>
    <mergeCell ref="A142:D142"/>
    <mergeCell ref="A157:D157"/>
    <mergeCell ref="A158:D158"/>
    <mergeCell ref="A173:D173"/>
    <mergeCell ref="A174:D174"/>
    <mergeCell ref="A313:D313"/>
    <mergeCell ref="A194:D194"/>
    <mergeCell ref="A213:D213"/>
    <mergeCell ref="A214:D214"/>
    <mergeCell ref="A233:D233"/>
    <mergeCell ref="A234:D234"/>
    <mergeCell ref="A253:D253"/>
    <mergeCell ref="A254:D254"/>
    <mergeCell ref="A273:D273"/>
    <mergeCell ref="A274:D274"/>
    <mergeCell ref="A293:D293"/>
    <mergeCell ref="A294:D294"/>
    <mergeCell ref="F398:F401"/>
    <mergeCell ref="A314:D314"/>
    <mergeCell ref="A333:D333"/>
    <mergeCell ref="A334:D334"/>
    <mergeCell ref="A354:D354"/>
    <mergeCell ref="A355:D355"/>
    <mergeCell ref="A375:C375"/>
    <mergeCell ref="E379:E387"/>
    <mergeCell ref="E388:E390"/>
    <mergeCell ref="A394:C394"/>
    <mergeCell ref="E396:E397"/>
    <mergeCell ref="E398:E403"/>
    <mergeCell ref="A427:D427"/>
    <mergeCell ref="A441:D441"/>
    <mergeCell ref="E448:E449"/>
    <mergeCell ref="E404:E408"/>
    <mergeCell ref="E409:E413"/>
    <mergeCell ref="E414:E415"/>
    <mergeCell ref="E416:E418"/>
    <mergeCell ref="E419:E421"/>
    <mergeCell ref="E422:E423"/>
  </mergeCells>
  <dataValidations count="5">
    <dataValidation type="list" allowBlank="1" showInputMessage="1" showErrorMessage="1" sqref="D127 D29 D46 D62 D79 D95 D111 D144 D160">
      <formula1>"Lampade ai vapori di mercurio, Lampade fluorescenti compatte, Lampade a vapori di sodio a bassa pressione, Lampade a vapori di sodio ad alta pressione, LED, Ioduri Metallici/ Alogenuri Metallici"</formula1>
    </dataValidation>
    <dataValidation type="list" allowBlank="1" showInputMessage="1" showErrorMessage="1" sqref="D443">
      <formula1>"Autofinanziamento, Project Finance, Consip, Partenariato Pubblico Privato (PPP)"</formula1>
    </dataValidation>
    <dataValidation type="list" allowBlank="1" showInputMessage="1" showErrorMessage="1" sqref="D396:D397 D434">
      <formula1>"Sì, No"</formula1>
    </dataValidation>
    <dataValidation type="list" allowBlank="1" showInputMessage="1" showErrorMessage="1" sqref="D377:D378">
      <formula1>"Regolazione predefinita, Traffic Adaptive Installation (TAI), Full Adaptive Installation (FAI)"</formula1>
    </dataValidation>
    <dataValidation type="list" allowBlank="1" showInputMessage="1" showErrorMessage="1" sqref="D176 D196 D216 D236 D256 D276 D296 D316 D336 D357">
      <formula1>"Lampade ai vapori di mercurio, Lampade fluorescenti compatte, Lampade a vapori di sodio a bassa pressione, Lampade a vapori di sodio ad alta pressione, LED, Ioduri Metallici/Alogenuri Metallici"</formula1>
    </dataValidation>
  </dataValidations>
  <pageMargins left="0.7" right="0.7" top="0.75" bottom="0.75" header="0.3" footer="0.3"/>
  <pageSetup paperSize="9" orientation="portrait" horizontalDpi="1200" verticalDpi="1200" r:id="rId1"/>
  <legacyDrawing r:id="rId2"/>
  <tableParts count="24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185"/>
  <sheetViews>
    <sheetView tabSelected="1" topLeftCell="B122" zoomScale="80" zoomScaleNormal="80" zoomScalePageLayoutView="80" workbookViewId="0">
      <selection activeCell="D148" sqref="D148"/>
    </sheetView>
  </sheetViews>
  <sheetFormatPr defaultColWidth="8.81640625" defaultRowHeight="14.5" x14ac:dyDescent="0.35"/>
  <cols>
    <col min="2" max="2" width="42.1796875" customWidth="1"/>
    <col min="3" max="3" width="95.36328125" bestFit="1" customWidth="1"/>
    <col min="4" max="4" width="77.36328125" customWidth="1"/>
    <col min="5" max="5" width="66" customWidth="1"/>
    <col min="6" max="6" width="97.453125" customWidth="1"/>
    <col min="7" max="7" width="55.1796875" bestFit="1" customWidth="1"/>
    <col min="8" max="8" width="51.81640625" customWidth="1"/>
    <col min="9" max="9" width="55" customWidth="1"/>
    <col min="10" max="10" width="54.453125" customWidth="1"/>
    <col min="11" max="11" width="40.1796875" customWidth="1"/>
    <col min="12" max="12" width="27.81640625" bestFit="1" customWidth="1"/>
    <col min="13" max="13" width="17.1796875" bestFit="1" customWidth="1"/>
    <col min="14" max="14" width="15.36328125" bestFit="1" customWidth="1"/>
    <col min="15" max="16" width="19.36328125" bestFit="1" customWidth="1"/>
    <col min="17" max="24" width="13.81640625" bestFit="1" customWidth="1"/>
  </cols>
  <sheetData>
    <row r="1" spans="1:16" ht="15.5" x14ac:dyDescent="0.35">
      <c r="A1" s="190" t="s">
        <v>249</v>
      </c>
      <c r="D1" s="318" t="s">
        <v>307</v>
      </c>
    </row>
    <row r="2" spans="1:16" x14ac:dyDescent="0.35">
      <c r="D2" s="319" t="s">
        <v>308</v>
      </c>
    </row>
    <row r="3" spans="1:16" x14ac:dyDescent="0.35">
      <c r="D3" s="76"/>
    </row>
    <row r="4" spans="1:16" ht="15" thickBot="1" x14ac:dyDescent="0.4">
      <c r="D4" s="76"/>
      <c r="H4" s="76"/>
      <c r="L4" s="143"/>
      <c r="O4" s="126"/>
      <c r="P4" s="127"/>
    </row>
    <row r="5" spans="1:16" ht="14.5" customHeight="1" x14ac:dyDescent="0.35">
      <c r="A5" s="424" t="s">
        <v>218</v>
      </c>
      <c r="B5" s="173" t="s">
        <v>24</v>
      </c>
      <c r="C5" s="173" t="s">
        <v>112</v>
      </c>
      <c r="D5" s="172" t="s">
        <v>214</v>
      </c>
      <c r="E5" s="173" t="s">
        <v>215</v>
      </c>
      <c r="F5" s="160" t="s">
        <v>216</v>
      </c>
      <c r="G5" s="173" t="s">
        <v>158</v>
      </c>
      <c r="H5" s="173" t="s">
        <v>217</v>
      </c>
      <c r="I5" s="173" t="s">
        <v>137</v>
      </c>
      <c r="J5" s="173" t="s">
        <v>138</v>
      </c>
      <c r="K5" s="173" t="s">
        <v>139</v>
      </c>
      <c r="L5" s="174" t="s">
        <v>140</v>
      </c>
      <c r="O5" s="128"/>
      <c r="P5" s="74"/>
    </row>
    <row r="6" spans="1:16" ht="14.5" customHeight="1" x14ac:dyDescent="0.35">
      <c r="A6" s="425"/>
      <c r="B6" s="224" t="s">
        <v>25</v>
      </c>
      <c r="C6" s="82" t="s">
        <v>93</v>
      </c>
      <c r="D6" s="184"/>
      <c r="E6" s="82">
        <f>'Dettaglio strade (ENEA)'!C6</f>
        <v>6</v>
      </c>
      <c r="F6" s="82"/>
      <c r="G6" s="82">
        <v>0.9</v>
      </c>
      <c r="H6" s="184"/>
      <c r="I6" s="82">
        <v>80</v>
      </c>
      <c r="J6" s="188"/>
      <c r="K6" s="186">
        <f>ROUNDDOWN(D6/'Dettaglio strade (ENEA)'!D6,0)</f>
        <v>0</v>
      </c>
      <c r="L6" s="82">
        <f t="shared" ref="L6:L17" si="0">ROUNDUP(IF(ISNUMBER(J6),K6/J6,K6/I6),0)</f>
        <v>0</v>
      </c>
      <c r="O6" s="124"/>
      <c r="P6" s="74"/>
    </row>
    <row r="7" spans="1:16" ht="15" customHeight="1" x14ac:dyDescent="0.35">
      <c r="A7" s="425"/>
      <c r="B7" s="224" t="s">
        <v>99</v>
      </c>
      <c r="C7" s="429" t="s">
        <v>90</v>
      </c>
      <c r="D7" s="184">
        <v>1021</v>
      </c>
      <c r="E7" s="82">
        <f>'Dettaglio strade (ENEA)'!C19</f>
        <v>7</v>
      </c>
      <c r="F7" s="82"/>
      <c r="G7" s="82">
        <v>1.1000000000000001</v>
      </c>
      <c r="H7" s="184">
        <v>16</v>
      </c>
      <c r="I7" s="82">
        <v>80</v>
      </c>
      <c r="J7" s="188"/>
      <c r="K7" s="390">
        <v>129</v>
      </c>
      <c r="L7" s="391">
        <v>5</v>
      </c>
    </row>
    <row r="8" spans="1:16" ht="15" customHeight="1" x14ac:dyDescent="0.35">
      <c r="A8" s="425"/>
      <c r="B8" s="224" t="s">
        <v>100</v>
      </c>
      <c r="C8" s="429"/>
      <c r="D8" s="184"/>
      <c r="E8" s="82">
        <f>'Dettaglio strade (ENEA)'!C32+2*1.5</f>
        <v>10</v>
      </c>
      <c r="F8" s="82"/>
      <c r="G8" s="82">
        <v>1.1000000000000001</v>
      </c>
      <c r="H8" s="184"/>
      <c r="I8" s="82">
        <v>80</v>
      </c>
      <c r="J8" s="188"/>
      <c r="K8" s="186">
        <f>ROUNDDOWN(D8/'Dettaglio strade (ENEA)'!D32,0)</f>
        <v>0</v>
      </c>
      <c r="L8" s="82">
        <f t="shared" si="0"/>
        <v>0</v>
      </c>
    </row>
    <row r="9" spans="1:16" ht="15" customHeight="1" x14ac:dyDescent="0.35">
      <c r="A9" s="425"/>
      <c r="B9" s="224" t="s">
        <v>101</v>
      </c>
      <c r="C9" s="430" t="s">
        <v>78</v>
      </c>
      <c r="D9" s="184">
        <v>75</v>
      </c>
      <c r="E9" s="185">
        <f>'Dettaglio strade (ENEA)'!C46+2*1.5</f>
        <v>9</v>
      </c>
      <c r="F9" s="82"/>
      <c r="G9" s="185">
        <v>1.6</v>
      </c>
      <c r="H9" s="184">
        <v>1</v>
      </c>
      <c r="I9" s="82">
        <v>80</v>
      </c>
      <c r="J9" s="188"/>
      <c r="K9" s="390">
        <v>10</v>
      </c>
      <c r="L9" s="391">
        <f t="shared" si="0"/>
        <v>1</v>
      </c>
    </row>
    <row r="10" spans="1:16" ht="15" customHeight="1" x14ac:dyDescent="0.35">
      <c r="A10" s="425"/>
      <c r="B10" s="224" t="s">
        <v>102</v>
      </c>
      <c r="C10" s="430"/>
      <c r="D10" s="184"/>
      <c r="E10" s="185">
        <f>'Dettaglio strade (ENEA)'!C60</f>
        <v>8</v>
      </c>
      <c r="F10" s="82"/>
      <c r="G10" s="185">
        <v>1.6</v>
      </c>
      <c r="H10" s="184"/>
      <c r="I10" s="82">
        <v>80</v>
      </c>
      <c r="J10" s="188"/>
      <c r="K10" s="186">
        <f>ROUNDDOWN(D10/'Dettaglio strade (ENEA)'!D60,0)</f>
        <v>0</v>
      </c>
      <c r="L10" s="82">
        <f t="shared" si="0"/>
        <v>0</v>
      </c>
    </row>
    <row r="11" spans="1:16" ht="15" customHeight="1" x14ac:dyDescent="0.35">
      <c r="A11" s="425"/>
      <c r="B11" s="224" t="s">
        <v>103</v>
      </c>
      <c r="C11" s="430"/>
      <c r="D11" s="184"/>
      <c r="E11" s="185">
        <f>'Dettaglio strade (ENEA)'!C73+'Dettaglio strade (ENEA)'!G73</f>
        <v>10</v>
      </c>
      <c r="F11" s="82"/>
      <c r="G11" s="185">
        <v>1.5</v>
      </c>
      <c r="H11" s="184"/>
      <c r="I11" s="82">
        <v>80</v>
      </c>
      <c r="J11" s="188"/>
      <c r="K11" s="186">
        <f>ROUNDDOWN(D11/'Dettaglio strade (ENEA)'!D73,0)</f>
        <v>0</v>
      </c>
      <c r="L11" s="82">
        <f t="shared" si="0"/>
        <v>0</v>
      </c>
    </row>
    <row r="12" spans="1:16" ht="15" customHeight="1" x14ac:dyDescent="0.35">
      <c r="A12" s="425"/>
      <c r="B12" s="224" t="s">
        <v>104</v>
      </c>
      <c r="C12" s="430"/>
      <c r="D12" s="184"/>
      <c r="E12" s="185">
        <f>'Dettaglio strade (ENEA)'!C87+2*1.5</f>
        <v>13</v>
      </c>
      <c r="F12" s="82"/>
      <c r="G12" s="185">
        <v>1.6</v>
      </c>
      <c r="H12" s="184"/>
      <c r="I12" s="82">
        <v>80</v>
      </c>
      <c r="J12" s="188"/>
      <c r="K12" s="186">
        <f>ROUNDDOWN(D12/'Dettaglio strade (ENEA)'!D87,0)</f>
        <v>0</v>
      </c>
      <c r="L12" s="82">
        <f t="shared" si="0"/>
        <v>0</v>
      </c>
    </row>
    <row r="13" spans="1:16" ht="15" customHeight="1" x14ac:dyDescent="0.35">
      <c r="A13" s="425"/>
      <c r="B13" s="224" t="s">
        <v>32</v>
      </c>
      <c r="C13" s="82" t="s">
        <v>40</v>
      </c>
      <c r="D13" s="184"/>
      <c r="E13" s="187">
        <f>('Dettaglio strade (ENEA)'!C99+2.5)*2</f>
        <v>19</v>
      </c>
      <c r="F13" s="82"/>
      <c r="G13" s="185">
        <v>2.4500000000000002</v>
      </c>
      <c r="H13" s="184"/>
      <c r="I13" s="82">
        <v>80</v>
      </c>
      <c r="J13" s="188"/>
      <c r="K13" s="186">
        <f>ROUNDDOWN(D13/'Dettaglio strade (ENEA)'!D99*2,0)</f>
        <v>0</v>
      </c>
      <c r="L13" s="82">
        <f t="shared" si="0"/>
        <v>0</v>
      </c>
    </row>
    <row r="14" spans="1:16" ht="15" customHeight="1" x14ac:dyDescent="0.35">
      <c r="A14" s="425"/>
      <c r="B14" s="224" t="s">
        <v>105</v>
      </c>
      <c r="C14" s="82" t="s">
        <v>70</v>
      </c>
      <c r="D14" s="184"/>
      <c r="E14" s="187">
        <f>'Dettaglio strade (ENEA)'!C114</f>
        <v>12</v>
      </c>
      <c r="F14" s="82"/>
      <c r="G14" s="185">
        <v>3.4</v>
      </c>
      <c r="H14" s="184"/>
      <c r="I14" s="82">
        <v>80</v>
      </c>
      <c r="J14" s="188"/>
      <c r="K14" s="186">
        <f>ROUNDDOWN(D14/'Dettaglio strade (ENEA)'!D114*2,0)</f>
        <v>0</v>
      </c>
      <c r="L14" s="82">
        <f t="shared" si="0"/>
        <v>0</v>
      </c>
    </row>
    <row r="15" spans="1:16" ht="15" customHeight="1" x14ac:dyDescent="0.35">
      <c r="A15" s="425"/>
      <c r="B15" s="224" t="s">
        <v>34</v>
      </c>
      <c r="C15" s="82" t="s">
        <v>40</v>
      </c>
      <c r="D15" s="184"/>
      <c r="E15" s="82">
        <f>'Dettaglio strade (ENEA)'!C129</f>
        <v>4</v>
      </c>
      <c r="F15" s="82"/>
      <c r="G15" s="82">
        <v>2.4300000000000002</v>
      </c>
      <c r="H15" s="184"/>
      <c r="I15" s="82">
        <v>80</v>
      </c>
      <c r="J15" s="188"/>
      <c r="K15" s="186">
        <f>ROUNDDOWN(D15/'Dettaglio strade (ENEA)'!D129,0)</f>
        <v>0</v>
      </c>
      <c r="L15" s="82">
        <f t="shared" si="0"/>
        <v>0</v>
      </c>
    </row>
    <row r="16" spans="1:16" ht="15" customHeight="1" x14ac:dyDescent="0.35">
      <c r="A16" s="425"/>
      <c r="B16" s="225"/>
      <c r="C16" s="82" t="s">
        <v>70</v>
      </c>
      <c r="D16" s="188"/>
      <c r="E16" s="189"/>
      <c r="F16" s="188"/>
      <c r="G16" s="185">
        <v>3.4</v>
      </c>
      <c r="H16" s="188"/>
      <c r="I16" s="82">
        <v>80</v>
      </c>
      <c r="J16" s="188"/>
      <c r="K16" s="185">
        <f>IFERROR(ROUNDDOWN(D16/F16,0),0)</f>
        <v>0</v>
      </c>
      <c r="L16" s="82">
        <f t="shared" si="0"/>
        <v>0</v>
      </c>
    </row>
    <row r="17" spans="1:13" ht="15" customHeight="1" x14ac:dyDescent="0.35">
      <c r="A17" s="425"/>
      <c r="B17" s="225"/>
      <c r="C17" s="82" t="s">
        <v>40</v>
      </c>
      <c r="D17" s="188"/>
      <c r="E17" s="189"/>
      <c r="F17" s="188"/>
      <c r="G17" s="185">
        <v>2.4500000000000002</v>
      </c>
      <c r="H17" s="188"/>
      <c r="I17" s="82">
        <v>80</v>
      </c>
      <c r="J17" s="188"/>
      <c r="K17" s="185">
        <f>IFERROR(ROUNDDOWN(D17/F17,0),0)</f>
        <v>0</v>
      </c>
      <c r="L17" s="82">
        <f t="shared" si="0"/>
        <v>0</v>
      </c>
    </row>
    <row r="18" spans="1:13" ht="15" customHeight="1" x14ac:dyDescent="0.35">
      <c r="A18" s="425"/>
      <c r="B18" s="225"/>
      <c r="C18" s="82" t="s">
        <v>78</v>
      </c>
      <c r="D18" s="188"/>
      <c r="E18" s="189"/>
      <c r="F18" s="188"/>
      <c r="G18" s="185">
        <v>1.6</v>
      </c>
      <c r="H18" s="188"/>
      <c r="I18" s="82">
        <v>80</v>
      </c>
      <c r="J18" s="188"/>
      <c r="K18" s="185">
        <f>IFERROR(ROUNDDOWN(D18/F18,0),0)</f>
        <v>0</v>
      </c>
      <c r="L18" s="82">
        <f t="shared" ref="L18:L20" si="1">ROUNDUP(IF(ISNUMBER(J18),K18/J18,K18/I18),0)</f>
        <v>0</v>
      </c>
    </row>
    <row r="19" spans="1:13" ht="15" customHeight="1" x14ac:dyDescent="0.35">
      <c r="A19" s="425"/>
      <c r="B19" s="225"/>
      <c r="C19" s="82" t="s">
        <v>90</v>
      </c>
      <c r="D19" s="188"/>
      <c r="E19" s="189"/>
      <c r="F19" s="188"/>
      <c r="G19" s="185">
        <v>1.1000000000000001</v>
      </c>
      <c r="H19" s="188"/>
      <c r="I19" s="82">
        <v>80</v>
      </c>
      <c r="J19" s="188"/>
      <c r="K19" s="185">
        <f>IFERROR(ROUNDDOWN(D19/F19,0),0)</f>
        <v>0</v>
      </c>
      <c r="L19" s="82">
        <f t="shared" si="1"/>
        <v>0</v>
      </c>
    </row>
    <row r="20" spans="1:13" ht="15" customHeight="1" x14ac:dyDescent="0.35">
      <c r="A20" s="425"/>
      <c r="B20" s="225"/>
      <c r="C20" s="82" t="s">
        <v>93</v>
      </c>
      <c r="D20" s="188"/>
      <c r="E20" s="189"/>
      <c r="F20" s="188"/>
      <c r="G20" s="185">
        <v>0.9</v>
      </c>
      <c r="H20" s="188"/>
      <c r="I20" s="82">
        <v>80</v>
      </c>
      <c r="J20" s="188"/>
      <c r="K20" s="185">
        <f>IFERROR(ROUNDDOWN(D20/F20,0),0)</f>
        <v>0</v>
      </c>
      <c r="L20" s="82">
        <f t="shared" si="1"/>
        <v>0</v>
      </c>
    </row>
    <row r="21" spans="1:13" ht="16" customHeight="1" thickBot="1" x14ac:dyDescent="0.4">
      <c r="A21" s="426"/>
      <c r="B21" s="180"/>
      <c r="C21" s="180"/>
      <c r="D21" s="175">
        <f>SUM(D6:D20)</f>
        <v>1096</v>
      </c>
      <c r="E21" s="176"/>
      <c r="F21" s="177"/>
      <c r="G21" s="178"/>
      <c r="H21" s="179">
        <f>SUM(H6:H20)</f>
        <v>17</v>
      </c>
      <c r="I21" s="180"/>
      <c r="J21" s="181"/>
      <c r="K21" s="182">
        <f>SUM(K6:K20)</f>
        <v>139</v>
      </c>
      <c r="L21" s="183">
        <f>SUM(L6:L20)</f>
        <v>6</v>
      </c>
    </row>
    <row r="22" spans="1:13" x14ac:dyDescent="0.35">
      <c r="D22" s="147"/>
      <c r="E22" s="18"/>
      <c r="F22" s="147"/>
      <c r="G22" s="90"/>
      <c r="H22" s="19"/>
      <c r="I22" s="19"/>
      <c r="J22" s="19"/>
      <c r="K22" s="19"/>
      <c r="L22" s="146"/>
      <c r="M22" s="17"/>
    </row>
    <row r="23" spans="1:13" ht="15" thickBot="1" x14ac:dyDescent="0.4">
      <c r="D23" s="147"/>
      <c r="I23" s="18"/>
      <c r="J23" s="147"/>
      <c r="K23" s="90"/>
      <c r="L23" s="19"/>
      <c r="M23" s="17"/>
    </row>
    <row r="24" spans="1:13" ht="15" thickBot="1" x14ac:dyDescent="0.4">
      <c r="C24" s="74"/>
      <c r="D24" s="76" t="s">
        <v>224</v>
      </c>
      <c r="E24" s="18"/>
      <c r="F24" s="220" t="s">
        <v>228</v>
      </c>
      <c r="J24" s="90"/>
      <c r="K24" s="19"/>
      <c r="M24" s="17"/>
    </row>
    <row r="25" spans="1:13" ht="15" customHeight="1" thickBot="1" x14ac:dyDescent="0.4">
      <c r="A25" s="434" t="s">
        <v>256</v>
      </c>
      <c r="B25" s="435"/>
      <c r="C25" s="229" t="s">
        <v>227</v>
      </c>
      <c r="D25" s="289" t="s">
        <v>226</v>
      </c>
      <c r="E25" s="290" t="s">
        <v>115</v>
      </c>
      <c r="F25" s="299" t="str">
        <f>IF(AND(OR(F27&gt;0,F28&gt;0,F29&gt;0,F30&gt;0,F32&gt;0),E25="si"),"ATTENZIONE!! Non è possibile avere un impianto REG","ok")</f>
        <v>ok</v>
      </c>
      <c r="J25" t="s">
        <v>106</v>
      </c>
      <c r="K25" s="19"/>
      <c r="M25" s="17"/>
    </row>
    <row r="26" spans="1:13" ht="15" customHeight="1" thickBot="1" x14ac:dyDescent="0.4">
      <c r="A26" s="436"/>
      <c r="B26" s="437"/>
      <c r="D26" s="24" t="s">
        <v>98</v>
      </c>
      <c r="E26" s="25" t="s">
        <v>142</v>
      </c>
      <c r="F26" s="25" t="s">
        <v>141</v>
      </c>
      <c r="G26" s="26" t="s">
        <v>156</v>
      </c>
      <c r="H26" s="294" t="s">
        <v>228</v>
      </c>
      <c r="I26" s="25" t="s">
        <v>301</v>
      </c>
      <c r="J26" s="25" t="s">
        <v>302</v>
      </c>
      <c r="K26" s="25" t="s">
        <v>303</v>
      </c>
    </row>
    <row r="27" spans="1:13" ht="14.5" customHeight="1" x14ac:dyDescent="0.35">
      <c r="A27" s="436"/>
      <c r="B27" s="437"/>
      <c r="C27" s="446" t="s">
        <v>220</v>
      </c>
      <c r="D27" s="291" t="s">
        <v>280</v>
      </c>
      <c r="E27" s="464" t="s">
        <v>155</v>
      </c>
      <c r="F27" s="292">
        <v>10</v>
      </c>
      <c r="G27" s="293">
        <f>F27*'Prezzi smart adaptive lighting'!$C$4</f>
        <v>4000</v>
      </c>
      <c r="H27" s="461" t="str">
        <f>IF(OR($E$25="si",$F$32&gt;0),"non si può avere un impianto TAI","è possibile avere un impianto TAI")</f>
        <v>non si può avere un impianto TAI</v>
      </c>
      <c r="I27" s="296" t="s">
        <v>304</v>
      </c>
      <c r="J27" s="417" t="s">
        <v>304</v>
      </c>
      <c r="K27" s="419" t="s">
        <v>304</v>
      </c>
    </row>
    <row r="28" spans="1:13" ht="14.5" customHeight="1" x14ac:dyDescent="0.35">
      <c r="A28" s="436"/>
      <c r="B28" s="437"/>
      <c r="C28" s="447"/>
      <c r="D28" s="163" t="s">
        <v>277</v>
      </c>
      <c r="E28" s="465"/>
      <c r="F28" s="131"/>
      <c r="G28" s="191">
        <f>F28*'Prezzi smart adaptive lighting'!$C$5</f>
        <v>0</v>
      </c>
      <c r="H28" s="462"/>
      <c r="I28" s="308" t="s">
        <v>265</v>
      </c>
      <c r="J28" s="422"/>
      <c r="K28" s="423"/>
    </row>
    <row r="29" spans="1:13" ht="14.5" customHeight="1" x14ac:dyDescent="0.35">
      <c r="A29" s="436"/>
      <c r="B29" s="437"/>
      <c r="C29" s="447"/>
      <c r="D29" s="163" t="s">
        <v>276</v>
      </c>
      <c r="E29" s="465"/>
      <c r="F29" s="131"/>
      <c r="G29" s="191">
        <f>F29*'Prezzi smart adaptive lighting'!$C$5</f>
        <v>0</v>
      </c>
      <c r="H29" s="462"/>
      <c r="I29" s="308" t="s">
        <v>265</v>
      </c>
      <c r="J29" s="308" t="s">
        <v>269</v>
      </c>
      <c r="K29" s="423"/>
    </row>
    <row r="30" spans="1:13" ht="15" customHeight="1" thickBot="1" x14ac:dyDescent="0.4">
      <c r="A30" s="436"/>
      <c r="B30" s="437"/>
      <c r="C30" s="447"/>
      <c r="D30" s="163" t="s">
        <v>278</v>
      </c>
      <c r="E30" s="466"/>
      <c r="F30" s="131"/>
      <c r="G30" s="191">
        <f>F30*'Prezzi smart adaptive lighting'!$C$5</f>
        <v>0</v>
      </c>
      <c r="H30" s="463"/>
      <c r="I30" s="308"/>
      <c r="J30" s="308"/>
      <c r="K30" s="308"/>
    </row>
    <row r="31" spans="1:13" ht="15" customHeight="1" thickBot="1" x14ac:dyDescent="0.4">
      <c r="A31" s="436"/>
      <c r="B31" s="437"/>
      <c r="C31" s="448"/>
      <c r="D31" s="144" t="s">
        <v>295</v>
      </c>
      <c r="E31" s="283" t="str">
        <f>IF(SUM(F27:F30)&gt;=H21,"ok","ATTENZIONE: #sensori &lt; #incocri, procedere comunque?")</f>
        <v>ATTENZIONE: #sensori &lt; #incocri, procedere comunque?</v>
      </c>
      <c r="F31" s="284">
        <f>SUM(F27:F30)</f>
        <v>10</v>
      </c>
      <c r="G31" s="120">
        <f>SUM(G27:G30)</f>
        <v>4000</v>
      </c>
      <c r="H31" s="295"/>
      <c r="I31" s="421" t="s">
        <v>304</v>
      </c>
      <c r="J31" s="421"/>
      <c r="K31" s="421"/>
    </row>
    <row r="32" spans="1:13" ht="29.5" thickBot="1" x14ac:dyDescent="0.4">
      <c r="A32" s="436"/>
      <c r="B32" s="437"/>
      <c r="C32" s="449" t="s">
        <v>219</v>
      </c>
      <c r="D32" s="286" t="s">
        <v>264</v>
      </c>
      <c r="E32" s="279" t="s">
        <v>155</v>
      </c>
      <c r="F32" s="278">
        <v>1</v>
      </c>
      <c r="G32" s="285">
        <f>F32*'Prezzi smart adaptive lighting'!C6</f>
        <v>700</v>
      </c>
      <c r="H32" s="236" t="str">
        <f>IF(OR($E$25="si",F27&gt;0,F28&gt;0,F29&gt;0,F30&gt;0),"non si può avere un impianto FAI","è possibile avere un impianto FAI")</f>
        <v>non si può avere un impianto FAI</v>
      </c>
      <c r="I32" s="421"/>
      <c r="J32" s="421"/>
      <c r="K32" s="421"/>
    </row>
    <row r="33" spans="1:12" ht="15" thickBot="1" x14ac:dyDescent="0.4">
      <c r="A33" s="438"/>
      <c r="B33" s="439"/>
      <c r="C33" s="450"/>
      <c r="D33" s="144" t="s">
        <v>296</v>
      </c>
      <c r="E33" s="283" t="str">
        <f>IF(F33&gt;=H21,"ok","ATTENZIONE! #sensori &lt; #incroci, procedere comunque?")</f>
        <v>ATTENZIONE! #sensori &lt; #incroci, procedere comunque?</v>
      </c>
      <c r="F33" s="145">
        <f>F32</f>
        <v>1</v>
      </c>
      <c r="G33" s="170">
        <f>G32</f>
        <v>700</v>
      </c>
      <c r="H33" s="297"/>
      <c r="I33" s="421"/>
      <c r="J33" s="421"/>
      <c r="K33" s="421"/>
    </row>
    <row r="34" spans="1:12" ht="21" x14ac:dyDescent="0.35">
      <c r="A34" s="280"/>
      <c r="B34" s="280"/>
      <c r="C34" s="281"/>
      <c r="D34" s="14"/>
      <c r="E34" s="218"/>
      <c r="F34" s="18"/>
      <c r="G34" s="136"/>
      <c r="H34" s="282"/>
      <c r="I34" s="74"/>
      <c r="J34" s="74"/>
    </row>
    <row r="35" spans="1:12" ht="15" thickBot="1" x14ac:dyDescent="0.4"/>
    <row r="36" spans="1:12" ht="16" thickBot="1" x14ac:dyDescent="0.4">
      <c r="D36" s="222" t="s">
        <v>229</v>
      </c>
      <c r="E36" s="18"/>
    </row>
    <row r="37" spans="1:12" ht="15" thickBot="1" x14ac:dyDescent="0.4">
      <c r="D37" s="223" t="s">
        <v>230</v>
      </c>
      <c r="E37" s="219" t="s">
        <v>114</v>
      </c>
    </row>
    <row r="38" spans="1:12" ht="15" thickBot="1" x14ac:dyDescent="0.4">
      <c r="D38" s="12" t="s">
        <v>236</v>
      </c>
      <c r="E38" s="12"/>
    </row>
    <row r="39" spans="1:12" ht="15" thickBot="1" x14ac:dyDescent="0.4">
      <c r="D39" s="234" t="str">
        <f>IF(E37="si","Qual è il costo TOTALE del software di telegestione presente?","NON COMPILARE QUESTO CAMPO")</f>
        <v>Qual è il costo TOTALE del software di telegestione presente?</v>
      </c>
      <c r="E39" s="235"/>
    </row>
    <row r="40" spans="1:12" x14ac:dyDescent="0.35">
      <c r="D40" s="14"/>
      <c r="E40" s="18"/>
    </row>
    <row r="41" spans="1:12" ht="15" thickBot="1" x14ac:dyDescent="0.4">
      <c r="D41" s="76" t="s">
        <v>225</v>
      </c>
      <c r="H41" t="s">
        <v>106</v>
      </c>
    </row>
    <row r="42" spans="1:12" ht="15" thickBot="1" x14ac:dyDescent="0.4">
      <c r="B42" s="12"/>
      <c r="D42" s="300" t="s">
        <v>285</v>
      </c>
      <c r="E42" s="137" t="s">
        <v>98</v>
      </c>
      <c r="F42" s="160" t="s">
        <v>142</v>
      </c>
      <c r="G42" s="160" t="s">
        <v>141</v>
      </c>
      <c r="H42" s="161" t="s">
        <v>156</v>
      </c>
      <c r="I42" s="25" t="s">
        <v>301</v>
      </c>
      <c r="J42" s="25" t="s">
        <v>302</v>
      </c>
      <c r="K42" s="25" t="s">
        <v>303</v>
      </c>
    </row>
    <row r="43" spans="1:12" ht="24" thickBot="1" x14ac:dyDescent="0.4">
      <c r="A43" s="440" t="s">
        <v>257</v>
      </c>
      <c r="B43" s="441"/>
      <c r="C43" s="467" t="s">
        <v>221</v>
      </c>
      <c r="D43" s="301" t="s">
        <v>199</v>
      </c>
      <c r="E43" s="302" t="s">
        <v>306</v>
      </c>
      <c r="F43" s="317" t="s">
        <v>305</v>
      </c>
      <c r="G43" s="131" t="s">
        <v>114</v>
      </c>
      <c r="H43" s="304"/>
      <c r="I43" s="419" t="s">
        <v>304</v>
      </c>
      <c r="J43" s="417" t="s">
        <v>304</v>
      </c>
      <c r="K43" s="419" t="s">
        <v>304</v>
      </c>
    </row>
    <row r="44" spans="1:12" ht="14.5" customHeight="1" x14ac:dyDescent="0.35">
      <c r="A44" s="442"/>
      <c r="B44" s="443"/>
      <c r="C44" s="468"/>
      <c r="D44" s="431" t="s">
        <v>284</v>
      </c>
      <c r="E44" s="291" t="s">
        <v>280</v>
      </c>
      <c r="F44" s="465" t="s">
        <v>155</v>
      </c>
      <c r="G44" s="292"/>
      <c r="H44" s="305">
        <f>G44*'Prezzi smart adaptive lighting'!$C$4</f>
        <v>0</v>
      </c>
      <c r="I44" s="420"/>
      <c r="J44" s="418"/>
      <c r="K44" s="420"/>
      <c r="L44" s="217" t="s">
        <v>223</v>
      </c>
    </row>
    <row r="45" spans="1:12" ht="14.5" customHeight="1" x14ac:dyDescent="0.35">
      <c r="A45" s="442"/>
      <c r="B45" s="443"/>
      <c r="C45" s="468"/>
      <c r="D45" s="432"/>
      <c r="E45" s="163" t="s">
        <v>277</v>
      </c>
      <c r="F45" s="465"/>
      <c r="G45" s="131"/>
      <c r="H45" s="221">
        <f>G45*'Prezzi smart adaptive lighting'!$C$5</f>
        <v>0</v>
      </c>
      <c r="I45" s="309"/>
      <c r="J45" s="418"/>
      <c r="K45" s="420"/>
      <c r="L45" s="217" t="s">
        <v>223</v>
      </c>
    </row>
    <row r="46" spans="1:12" ht="14.5" customHeight="1" x14ac:dyDescent="0.35">
      <c r="A46" s="442"/>
      <c r="B46" s="443"/>
      <c r="C46" s="468"/>
      <c r="D46" s="432"/>
      <c r="E46" s="163" t="s">
        <v>276</v>
      </c>
      <c r="F46" s="465"/>
      <c r="G46" s="131"/>
      <c r="H46" s="221">
        <f>G46*'Prezzi smart adaptive lighting'!$C$5</f>
        <v>0</v>
      </c>
      <c r="I46" s="309"/>
      <c r="J46" s="311"/>
      <c r="K46" s="420"/>
      <c r="L46" s="217" t="s">
        <v>223</v>
      </c>
    </row>
    <row r="47" spans="1:12" ht="15" customHeight="1" thickBot="1" x14ac:dyDescent="0.4">
      <c r="A47" s="442"/>
      <c r="B47" s="443"/>
      <c r="C47" s="468"/>
      <c r="D47" s="433"/>
      <c r="E47" s="163" t="s">
        <v>278</v>
      </c>
      <c r="F47" s="470"/>
      <c r="G47" s="131">
        <v>10</v>
      </c>
      <c r="H47" s="191">
        <v>0</v>
      </c>
      <c r="I47" s="310"/>
      <c r="J47" s="312"/>
      <c r="K47" s="313"/>
      <c r="L47" s="217" t="s">
        <v>223</v>
      </c>
    </row>
    <row r="48" spans="1:12" ht="14.5" customHeight="1" x14ac:dyDescent="0.35">
      <c r="A48" s="442"/>
      <c r="B48" s="443"/>
      <c r="C48" s="468"/>
      <c r="D48" s="431" t="s">
        <v>286</v>
      </c>
      <c r="E48" s="163" t="s">
        <v>171</v>
      </c>
      <c r="F48" s="162" t="s">
        <v>205</v>
      </c>
      <c r="G48" s="131"/>
      <c r="H48" s="192">
        <f>G48*'Prezzi servizi "smart"'!$C$17</f>
        <v>0</v>
      </c>
      <c r="I48" s="303"/>
      <c r="J48" s="303"/>
      <c r="K48" s="303"/>
    </row>
    <row r="49" spans="1:11" ht="29" x14ac:dyDescent="0.35">
      <c r="A49" s="442"/>
      <c r="B49" s="443"/>
      <c r="C49" s="468"/>
      <c r="D49" s="432"/>
      <c r="E49" s="168" t="s">
        <v>279</v>
      </c>
      <c r="F49" s="169" t="s">
        <v>206</v>
      </c>
      <c r="G49" s="131"/>
      <c r="H49" s="193">
        <f>G49*'Prezzi servizi "smart"'!$C$18</f>
        <v>0</v>
      </c>
      <c r="I49" s="303"/>
      <c r="J49" s="303"/>
      <c r="K49" s="303"/>
    </row>
    <row r="50" spans="1:11" ht="15" customHeight="1" thickBot="1" x14ac:dyDescent="0.4">
      <c r="A50" s="442"/>
      <c r="B50" s="443"/>
      <c r="C50" s="468"/>
      <c r="D50" s="433"/>
      <c r="E50" s="164" t="s">
        <v>168</v>
      </c>
      <c r="F50" s="162" t="s">
        <v>207</v>
      </c>
      <c r="G50" s="131"/>
      <c r="H50" s="192">
        <f>G50*'Prezzi servizi "smart"'!$C$19</f>
        <v>0</v>
      </c>
      <c r="I50" s="306"/>
      <c r="J50" s="295"/>
      <c r="K50" s="295"/>
    </row>
    <row r="51" spans="1:11" ht="14.5" customHeight="1" x14ac:dyDescent="0.35">
      <c r="A51" s="442"/>
      <c r="B51" s="443"/>
      <c r="C51" s="468"/>
      <c r="D51" s="431" t="s">
        <v>287</v>
      </c>
      <c r="E51" s="163" t="s">
        <v>281</v>
      </c>
      <c r="F51" s="471" t="s">
        <v>208</v>
      </c>
      <c r="G51" s="131"/>
      <c r="H51" s="192">
        <f>G51*'Prezzi servizi "smart"'!$C$25</f>
        <v>0</v>
      </c>
      <c r="I51" s="307"/>
      <c r="J51" s="295"/>
      <c r="K51" s="295"/>
    </row>
    <row r="52" spans="1:11" ht="14.5" customHeight="1" x14ac:dyDescent="0.35">
      <c r="A52" s="442"/>
      <c r="B52" s="443"/>
      <c r="C52" s="468"/>
      <c r="D52" s="432"/>
      <c r="E52" s="163" t="s">
        <v>162</v>
      </c>
      <c r="F52" s="472"/>
      <c r="G52" s="131"/>
      <c r="H52" s="192">
        <f>'Prezzi servizi "smart"'!$C$26*Autofinanziamento!G52</f>
        <v>0</v>
      </c>
      <c r="I52" s="307"/>
      <c r="J52" s="295"/>
      <c r="K52" s="295"/>
    </row>
    <row r="53" spans="1:11" ht="15" customHeight="1" thickBot="1" x14ac:dyDescent="0.4">
      <c r="A53" s="442"/>
      <c r="B53" s="443"/>
      <c r="C53" s="468"/>
      <c r="D53" s="433"/>
      <c r="E53" s="164" t="s">
        <v>282</v>
      </c>
      <c r="F53" s="473"/>
      <c r="G53" s="131"/>
      <c r="H53" s="192">
        <f>G53*'Prezzi servizi "smart"'!$C$27</f>
        <v>0</v>
      </c>
      <c r="I53" s="307"/>
      <c r="J53" s="295"/>
      <c r="K53" s="295"/>
    </row>
    <row r="54" spans="1:11" ht="24" customHeight="1" thickBot="1" x14ac:dyDescent="0.4">
      <c r="A54" s="442"/>
      <c r="B54" s="443"/>
      <c r="C54" s="468"/>
      <c r="D54" s="274" t="s">
        <v>288</v>
      </c>
      <c r="E54" s="168" t="s">
        <v>283</v>
      </c>
      <c r="F54" s="275" t="s">
        <v>235</v>
      </c>
      <c r="G54" s="131"/>
      <c r="H54" s="258">
        <f>G54*'Prezzi servizi "smart"'!$H$11</f>
        <v>0</v>
      </c>
      <c r="I54" s="307"/>
      <c r="J54" s="295"/>
      <c r="K54" s="295"/>
    </row>
    <row r="55" spans="1:11" ht="14.5" customHeight="1" x14ac:dyDescent="0.35">
      <c r="A55" s="442"/>
      <c r="B55" s="443"/>
      <c r="C55" s="468"/>
      <c r="D55" s="431" t="s">
        <v>289</v>
      </c>
      <c r="E55" s="163" t="s">
        <v>181</v>
      </c>
      <c r="F55" s="261" t="s">
        <v>209</v>
      </c>
      <c r="G55" s="131">
        <v>1</v>
      </c>
      <c r="H55" s="192">
        <f>G55*'Prezzi servizi "smart"'!$C$33</f>
        <v>5000</v>
      </c>
      <c r="I55" s="307"/>
      <c r="J55" s="295"/>
      <c r="K55" s="295"/>
    </row>
    <row r="56" spans="1:11" ht="15" customHeight="1" thickBot="1" x14ac:dyDescent="0.4">
      <c r="A56" s="442"/>
      <c r="B56" s="443"/>
      <c r="C56" s="469"/>
      <c r="D56" s="433"/>
      <c r="E56" s="163" t="s">
        <v>176</v>
      </c>
      <c r="F56" s="171" t="s">
        <v>210</v>
      </c>
      <c r="G56" s="131"/>
      <c r="H56" s="192">
        <f>G56*'Prezzi servizi "smart"'!$C$27</f>
        <v>0</v>
      </c>
      <c r="I56" s="307"/>
      <c r="J56" s="295"/>
      <c r="K56" s="295"/>
    </row>
    <row r="57" spans="1:11" ht="15" customHeight="1" thickBot="1" x14ac:dyDescent="0.4">
      <c r="A57" s="442"/>
      <c r="B57" s="443"/>
      <c r="C57" s="267"/>
      <c r="E57" s="254" t="s">
        <v>111</v>
      </c>
      <c r="F57" s="255"/>
      <c r="G57" s="256">
        <f>SUM(G44:G56)</f>
        <v>11</v>
      </c>
      <c r="H57" s="257">
        <f>SUM(H44:H56)</f>
        <v>5000</v>
      </c>
      <c r="I57" s="307"/>
      <c r="J57" s="295"/>
      <c r="K57" s="295"/>
    </row>
    <row r="58" spans="1:11" ht="14.5" customHeight="1" thickBot="1" x14ac:dyDescent="0.4">
      <c r="A58" s="442"/>
      <c r="B58" s="443"/>
      <c r="C58" s="267"/>
      <c r="D58" s="12"/>
      <c r="I58" s="18"/>
    </row>
    <row r="59" spans="1:11" ht="15" customHeight="1" thickBot="1" x14ac:dyDescent="0.4">
      <c r="A59" s="442"/>
      <c r="B59" s="443"/>
      <c r="C59" s="267"/>
      <c r="D59" s="12"/>
      <c r="E59" s="24" t="s">
        <v>98</v>
      </c>
      <c r="F59" s="25" t="s">
        <v>142</v>
      </c>
      <c r="G59" s="25" t="s">
        <v>141</v>
      </c>
      <c r="H59" s="26" t="s">
        <v>156</v>
      </c>
      <c r="I59" s="18"/>
    </row>
    <row r="60" spans="1:11" ht="24" customHeight="1" thickBot="1" x14ac:dyDescent="0.4">
      <c r="A60" s="442"/>
      <c r="B60" s="443"/>
      <c r="C60" s="457" t="s">
        <v>222</v>
      </c>
      <c r="D60" s="266" t="s">
        <v>288</v>
      </c>
      <c r="E60" s="156" t="s">
        <v>262</v>
      </c>
      <c r="F60" s="275" t="s">
        <v>235</v>
      </c>
      <c r="G60" s="113"/>
      <c r="H60" s="194">
        <f>G60*'Prezzi servizi "smart"'!$H$12</f>
        <v>0</v>
      </c>
      <c r="I60" s="124"/>
    </row>
    <row r="61" spans="1:11" ht="24" customHeight="1" thickBot="1" x14ac:dyDescent="0.4">
      <c r="A61" s="442"/>
      <c r="B61" s="443"/>
      <c r="C61" s="458"/>
      <c r="D61" s="266" t="s">
        <v>292</v>
      </c>
      <c r="E61" s="155" t="s">
        <v>163</v>
      </c>
      <c r="F61" s="276" t="s">
        <v>213</v>
      </c>
      <c r="G61" s="113"/>
      <c r="H61" s="195">
        <f>G61*'Prezzi servizi "smart"'!$H$17</f>
        <v>0</v>
      </c>
      <c r="I61" s="18"/>
    </row>
    <row r="62" spans="1:11" ht="14.5" customHeight="1" thickBot="1" x14ac:dyDescent="0.4">
      <c r="A62" s="442"/>
      <c r="B62" s="443"/>
      <c r="C62" s="273"/>
      <c r="E62" s="144" t="s">
        <v>111</v>
      </c>
      <c r="F62" s="158"/>
      <c r="G62" s="145">
        <f>SUM(G60:G61)</f>
        <v>0</v>
      </c>
      <c r="H62" s="170">
        <f>SUM(H60:H61)</f>
        <v>0</v>
      </c>
      <c r="I62" s="18"/>
    </row>
    <row r="63" spans="1:11" ht="15" customHeight="1" thickBot="1" x14ac:dyDescent="0.4">
      <c r="A63" s="442"/>
      <c r="B63" s="443"/>
      <c r="C63" s="272"/>
      <c r="I63" s="18"/>
    </row>
    <row r="64" spans="1:11" ht="15" customHeight="1" thickBot="1" x14ac:dyDescent="0.4">
      <c r="A64" s="442"/>
      <c r="B64" s="443"/>
      <c r="C64" s="272"/>
      <c r="E64" s="25" t="s">
        <v>98</v>
      </c>
      <c r="F64" s="25" t="s">
        <v>142</v>
      </c>
      <c r="G64" s="25" t="s">
        <v>141</v>
      </c>
      <c r="H64" s="26" t="s">
        <v>156</v>
      </c>
      <c r="I64" s="18"/>
    </row>
    <row r="65" spans="1:14" ht="15.5" customHeight="1" x14ac:dyDescent="0.35">
      <c r="A65" s="442"/>
      <c r="B65" s="443"/>
      <c r="C65" s="457" t="s">
        <v>290</v>
      </c>
      <c r="D65" s="459" t="s">
        <v>291</v>
      </c>
      <c r="E65" s="226" t="s">
        <v>169</v>
      </c>
      <c r="F65" s="171" t="s">
        <v>211</v>
      </c>
      <c r="G65" s="131"/>
      <c r="H65" s="270">
        <f>G65*'Prezzi servizi "smart"'!$H$4</f>
        <v>0</v>
      </c>
    </row>
    <row r="66" spans="1:14" ht="15" customHeight="1" thickBot="1" x14ac:dyDescent="0.4">
      <c r="A66" s="444"/>
      <c r="B66" s="445"/>
      <c r="C66" s="458"/>
      <c r="D66" s="460"/>
      <c r="E66" s="226" t="s">
        <v>170</v>
      </c>
      <c r="F66" s="162" t="s">
        <v>207</v>
      </c>
      <c r="G66" s="131"/>
      <c r="H66" s="270">
        <f>G66*'Prezzi servizi "smart"'!$H$5</f>
        <v>0</v>
      </c>
    </row>
    <row r="67" spans="1:14" ht="15" thickBot="1" x14ac:dyDescent="0.4">
      <c r="E67" s="144" t="s">
        <v>111</v>
      </c>
      <c r="F67" s="158"/>
      <c r="G67" s="145">
        <f>SUM(G65:G66)</f>
        <v>0</v>
      </c>
      <c r="H67" s="170">
        <f>SUM(H65:H66)</f>
        <v>0</v>
      </c>
    </row>
    <row r="68" spans="1:14" x14ac:dyDescent="0.35">
      <c r="E68" s="14"/>
      <c r="F68" s="268"/>
      <c r="G68" s="271"/>
      <c r="H68" s="269"/>
    </row>
    <row r="70" spans="1:14" x14ac:dyDescent="0.35">
      <c r="C70" s="239" t="s">
        <v>18</v>
      </c>
      <c r="D70" s="240"/>
      <c r="E70" s="18"/>
      <c r="F70" s="18"/>
      <c r="G70" s="18"/>
      <c r="H70" s="18"/>
      <c r="I70" s="18"/>
      <c r="J70" s="18"/>
    </row>
    <row r="71" spans="1:14" x14ac:dyDescent="0.35">
      <c r="C71" s="153" t="s">
        <v>21</v>
      </c>
      <c r="D71" s="159">
        <f>K21</f>
        <v>139</v>
      </c>
      <c r="J71" s="84"/>
      <c r="K71" s="84"/>
      <c r="L71" s="84"/>
      <c r="M71" s="84"/>
      <c r="N71" s="84"/>
    </row>
    <row r="72" spans="1:14" x14ac:dyDescent="0.35">
      <c r="C72" s="150" t="s">
        <v>20</v>
      </c>
      <c r="D72" s="157">
        <f>L21</f>
        <v>6</v>
      </c>
      <c r="J72" s="84"/>
      <c r="K72" s="94"/>
      <c r="L72" s="94"/>
      <c r="M72" s="94"/>
      <c r="N72" s="93"/>
    </row>
    <row r="73" spans="1:14" x14ac:dyDescent="0.35">
      <c r="C73" s="150" t="s">
        <v>250</v>
      </c>
      <c r="D73" s="157">
        <f>SUM(F27:F30)</f>
        <v>10</v>
      </c>
      <c r="I73" s="84"/>
      <c r="J73" s="93"/>
      <c r="K73" s="93"/>
      <c r="L73" s="93"/>
      <c r="M73" s="93"/>
    </row>
    <row r="74" spans="1:14" x14ac:dyDescent="0.35">
      <c r="C74" s="150" t="s">
        <v>275</v>
      </c>
      <c r="D74" s="157">
        <f>F32</f>
        <v>1</v>
      </c>
      <c r="I74" s="84"/>
      <c r="J74" s="93"/>
      <c r="K74" s="93"/>
      <c r="L74" s="93"/>
      <c r="M74" s="93"/>
    </row>
    <row r="75" spans="1:14" x14ac:dyDescent="0.35">
      <c r="C75" s="16" t="s">
        <v>197</v>
      </c>
      <c r="D75" s="157">
        <f>IF(G43="si",L21,0)</f>
        <v>6</v>
      </c>
      <c r="I75" s="84"/>
      <c r="J75" s="93"/>
      <c r="K75" s="93"/>
      <c r="L75" s="93"/>
      <c r="M75" s="93"/>
    </row>
    <row r="76" spans="1:14" x14ac:dyDescent="0.35">
      <c r="C76" s="150" t="s">
        <v>251</v>
      </c>
      <c r="D76" s="157">
        <f>SUM(G44:G47)</f>
        <v>10</v>
      </c>
      <c r="I76" s="89"/>
      <c r="J76" s="86"/>
      <c r="K76" s="85"/>
      <c r="L76" s="85"/>
      <c r="M76" s="93"/>
    </row>
    <row r="77" spans="1:14" x14ac:dyDescent="0.35">
      <c r="C77" s="16" t="s">
        <v>187</v>
      </c>
      <c r="D77" s="157">
        <f>G48+G49</f>
        <v>0</v>
      </c>
      <c r="I77" s="87"/>
      <c r="J77" s="87"/>
      <c r="K77" s="87"/>
      <c r="L77" s="87"/>
      <c r="M77" s="93"/>
    </row>
    <row r="78" spans="1:14" x14ac:dyDescent="0.35">
      <c r="C78" s="16" t="s">
        <v>189</v>
      </c>
      <c r="D78" s="157">
        <f>G50</f>
        <v>0</v>
      </c>
      <c r="I78" s="88"/>
      <c r="J78" s="94"/>
      <c r="K78" s="94"/>
      <c r="L78" s="88"/>
      <c r="M78" s="93"/>
    </row>
    <row r="79" spans="1:14" x14ac:dyDescent="0.35">
      <c r="C79" s="16" t="s">
        <v>183</v>
      </c>
      <c r="D79" s="157">
        <f>SUM(G51:G53)</f>
        <v>0</v>
      </c>
      <c r="I79" s="88"/>
      <c r="J79" s="93"/>
      <c r="K79" s="93"/>
      <c r="L79" s="88"/>
      <c r="M79" s="93"/>
    </row>
    <row r="80" spans="1:14" x14ac:dyDescent="0.35">
      <c r="C80" s="16" t="s">
        <v>184</v>
      </c>
      <c r="D80" s="157">
        <f>G55</f>
        <v>1</v>
      </c>
      <c r="I80" s="88"/>
      <c r="J80" s="93"/>
      <c r="K80" s="93"/>
      <c r="L80" s="88"/>
      <c r="M80" s="93"/>
    </row>
    <row r="81" spans="3:13" x14ac:dyDescent="0.35">
      <c r="C81" s="16" t="s">
        <v>185</v>
      </c>
      <c r="D81" s="157">
        <f>G56</f>
        <v>0</v>
      </c>
      <c r="F81" s="427" t="s">
        <v>240</v>
      </c>
      <c r="G81" s="428"/>
      <c r="I81" s="88"/>
      <c r="J81" s="93"/>
      <c r="K81" s="93"/>
      <c r="L81" s="88"/>
      <c r="M81" s="93"/>
    </row>
    <row r="82" spans="3:13" x14ac:dyDescent="0.35">
      <c r="C82" s="16" t="s">
        <v>182</v>
      </c>
      <c r="D82" s="157">
        <f>G65</f>
        <v>0</v>
      </c>
      <c r="I82" s="88"/>
      <c r="J82" s="88"/>
      <c r="K82" s="88"/>
      <c r="L82" s="88"/>
      <c r="M82" s="84"/>
    </row>
    <row r="83" spans="3:13" x14ac:dyDescent="0.35">
      <c r="C83" s="16" t="s">
        <v>274</v>
      </c>
      <c r="D83" s="157">
        <f>G60+G54</f>
        <v>0</v>
      </c>
      <c r="F83" s="455" t="s">
        <v>118</v>
      </c>
      <c r="G83" s="456"/>
      <c r="I83" s="88"/>
      <c r="J83" s="88"/>
      <c r="K83" s="88"/>
      <c r="L83" s="88"/>
      <c r="M83" s="84"/>
    </row>
    <row r="84" spans="3:13" x14ac:dyDescent="0.35">
      <c r="C84" s="150" t="s">
        <v>188</v>
      </c>
      <c r="D84" s="157">
        <f>G61</f>
        <v>0</v>
      </c>
      <c r="F84" s="20" t="s">
        <v>107</v>
      </c>
      <c r="G84" s="116" t="s">
        <v>114</v>
      </c>
      <c r="I84" s="19"/>
      <c r="J84" s="19"/>
      <c r="K84" s="19"/>
      <c r="L84" s="19"/>
    </row>
    <row r="85" spans="3:13" x14ac:dyDescent="0.35">
      <c r="C85" s="154" t="s">
        <v>186</v>
      </c>
      <c r="D85" s="4">
        <f>G66</f>
        <v>0</v>
      </c>
      <c r="F85" s="22" t="s">
        <v>131</v>
      </c>
      <c r="G85" s="122">
        <f>G86*(1-G88)</f>
        <v>1876.5</v>
      </c>
      <c r="I85" s="19"/>
      <c r="J85" s="19"/>
      <c r="K85" s="19"/>
      <c r="L85" s="19"/>
    </row>
    <row r="86" spans="3:13" x14ac:dyDescent="0.35">
      <c r="F86" s="1" t="s">
        <v>129</v>
      </c>
      <c r="G86" s="78">
        <f>'Prezzi smart adaptive lighting'!F15*D71</f>
        <v>2085</v>
      </c>
      <c r="I86" s="19"/>
      <c r="J86" s="19"/>
      <c r="K86" s="19"/>
      <c r="L86" s="19"/>
    </row>
    <row r="87" spans="3:13" x14ac:dyDescent="0.35">
      <c r="C87" s="237" t="s">
        <v>14</v>
      </c>
      <c r="D87" s="238"/>
      <c r="F87" s="242" t="s">
        <v>237</v>
      </c>
      <c r="G87" s="243">
        <f>G86-G85</f>
        <v>208.5</v>
      </c>
      <c r="I87" s="19"/>
      <c r="J87" s="19"/>
      <c r="K87" s="19"/>
      <c r="L87" s="19"/>
    </row>
    <row r="88" spans="3:13" x14ac:dyDescent="0.35">
      <c r="C88" s="380" t="s">
        <v>633</v>
      </c>
      <c r="D88" s="394">
        <f>(D71-10)*'Prezzi smart adaptive lighting'!F28+10*'Prezzi smart adaptive lighting'!F29</f>
        <v>33170</v>
      </c>
      <c r="F88" s="22" t="s">
        <v>17</v>
      </c>
      <c r="G88" s="117">
        <f>IF(E25="si",10%,IF(OR(F27&gt;0,F28&gt;0,F29&gt;0,F30&gt;0,F32&gt;0),10%,0))</f>
        <v>0.1</v>
      </c>
      <c r="I88" s="19"/>
      <c r="J88" s="19"/>
      <c r="K88" s="19"/>
      <c r="L88" s="19"/>
    </row>
    <row r="89" spans="3:13" x14ac:dyDescent="0.35">
      <c r="C89" s="380" t="s">
        <v>634</v>
      </c>
      <c r="D89" s="389">
        <f>'Prezzi smart adaptive lighting'!F30</f>
        <v>300</v>
      </c>
      <c r="F89" s="392"/>
      <c r="G89" s="393"/>
      <c r="I89" s="19"/>
      <c r="J89" s="19"/>
      <c r="K89" s="19"/>
      <c r="L89" s="19"/>
    </row>
    <row r="90" spans="3:13" x14ac:dyDescent="0.35">
      <c r="C90" s="380" t="s">
        <v>635</v>
      </c>
      <c r="D90" s="389">
        <f>'Prezzi smart adaptive lighting'!F31</f>
        <v>0</v>
      </c>
      <c r="F90" s="392"/>
      <c r="G90" s="393"/>
      <c r="I90" s="19"/>
      <c r="J90" s="19"/>
      <c r="K90" s="19"/>
      <c r="L90" s="19"/>
    </row>
    <row r="91" spans="3:13" x14ac:dyDescent="0.35">
      <c r="C91" s="380" t="s">
        <v>639</v>
      </c>
      <c r="D91" s="389">
        <f>'Prezzi smart adaptive lighting'!F36</f>
        <v>7900</v>
      </c>
      <c r="F91" s="392"/>
      <c r="G91" s="393"/>
      <c r="I91" s="19"/>
      <c r="J91" s="19"/>
      <c r="K91" s="19"/>
      <c r="L91" s="19"/>
    </row>
    <row r="92" spans="3:13" x14ac:dyDescent="0.35">
      <c r="C92" s="380" t="s">
        <v>636</v>
      </c>
      <c r="D92" s="389">
        <f>'Prezzi smart adaptive lighting'!F32</f>
        <v>1000</v>
      </c>
      <c r="F92" s="392"/>
      <c r="G92" s="393"/>
      <c r="I92" s="19"/>
      <c r="J92" s="19"/>
      <c r="K92" s="19"/>
      <c r="L92" s="19"/>
    </row>
    <row r="93" spans="3:13" x14ac:dyDescent="0.35">
      <c r="C93" s="380" t="s">
        <v>637</v>
      </c>
      <c r="D93" s="395">
        <f>'Prezzi smart adaptive lighting'!F33*D71</f>
        <v>973</v>
      </c>
      <c r="F93" s="455" t="s">
        <v>19</v>
      </c>
      <c r="G93" s="456"/>
      <c r="H93" s="18"/>
      <c r="I93" s="18"/>
      <c r="J93" s="18"/>
      <c r="K93" s="18"/>
      <c r="L93" s="18"/>
    </row>
    <row r="94" spans="3:13" x14ac:dyDescent="0.35">
      <c r="C94" s="91" t="s">
        <v>252</v>
      </c>
      <c r="D94" s="288">
        <f>SUM(G26:G29)</f>
        <v>4000</v>
      </c>
      <c r="F94" s="20" t="s">
        <v>113</v>
      </c>
      <c r="G94" s="95">
        <v>0.18</v>
      </c>
    </row>
    <row r="95" spans="3:13" x14ac:dyDescent="0.35">
      <c r="C95" s="91" t="s">
        <v>270</v>
      </c>
      <c r="D95" s="78">
        <f>G32</f>
        <v>700</v>
      </c>
      <c r="F95" s="22" t="s">
        <v>123</v>
      </c>
      <c r="G95" s="386">
        <f>'Dati in input'!H370</f>
        <v>12348.8961</v>
      </c>
    </row>
    <row r="96" spans="3:13" x14ac:dyDescent="0.35">
      <c r="C96" s="75" t="s">
        <v>198</v>
      </c>
      <c r="D96" s="166">
        <f>IF(G43="si",D75*'Prezzi servizi "smart"'!C4,0)</f>
        <v>6000</v>
      </c>
      <c r="F96" s="21" t="s">
        <v>124</v>
      </c>
      <c r="G96" s="387">
        <f>'Dati in input'!H169</f>
        <v>67654.95</v>
      </c>
    </row>
    <row r="97" spans="3:8" x14ac:dyDescent="0.35">
      <c r="C97" s="91" t="s">
        <v>253</v>
      </c>
      <c r="D97" s="101">
        <f>SUM(H44:H47)</f>
        <v>0</v>
      </c>
      <c r="F97" s="80" t="s">
        <v>244</v>
      </c>
      <c r="G97" s="241">
        <f>(G96-G95)*G94</f>
        <v>9955.0897019999993</v>
      </c>
    </row>
    <row r="98" spans="3:8" x14ac:dyDescent="0.35">
      <c r="C98" s="75" t="s">
        <v>190</v>
      </c>
      <c r="D98" s="78">
        <f>H48+H49</f>
        <v>0</v>
      </c>
      <c r="F98" s="22" t="s">
        <v>17</v>
      </c>
      <c r="G98" s="79">
        <f>G97/(G94*G96)</f>
        <v>0.81747239337254696</v>
      </c>
    </row>
    <row r="99" spans="3:8" x14ac:dyDescent="0.35">
      <c r="C99" s="75" t="s">
        <v>191</v>
      </c>
      <c r="D99" s="78">
        <f>H50</f>
        <v>0</v>
      </c>
    </row>
    <row r="100" spans="3:8" x14ac:dyDescent="0.35">
      <c r="C100" s="75" t="s">
        <v>192</v>
      </c>
      <c r="D100" s="78">
        <f>SUM(H51:H53)</f>
        <v>0</v>
      </c>
      <c r="F100" s="453" t="s">
        <v>241</v>
      </c>
      <c r="G100" s="454"/>
      <c r="H100" s="92"/>
    </row>
    <row r="101" spans="3:8" x14ac:dyDescent="0.35">
      <c r="C101" s="75" t="s">
        <v>193</v>
      </c>
      <c r="D101" s="78">
        <f>H55</f>
        <v>5000</v>
      </c>
      <c r="F101" s="73" t="s">
        <v>242</v>
      </c>
      <c r="G101" s="241">
        <v>5.1346022727272684</v>
      </c>
      <c r="H101" s="92"/>
    </row>
    <row r="102" spans="3:8" x14ac:dyDescent="0.35">
      <c r="C102" s="75" t="s">
        <v>194</v>
      </c>
      <c r="D102" s="78">
        <f>H56</f>
        <v>0</v>
      </c>
      <c r="F102" s="80" t="s">
        <v>243</v>
      </c>
      <c r="G102" s="148">
        <f>(G96-G95)</f>
        <v>55306.053899999999</v>
      </c>
      <c r="H102" s="139"/>
    </row>
    <row r="103" spans="3:8" x14ac:dyDescent="0.35">
      <c r="C103" s="75" t="s">
        <v>255</v>
      </c>
      <c r="D103" s="78">
        <f>H65</f>
        <v>0</v>
      </c>
      <c r="F103" s="80" t="s">
        <v>245</v>
      </c>
      <c r="G103" s="148">
        <v>0.38500000000000001</v>
      </c>
      <c r="H103" s="140"/>
    </row>
    <row r="104" spans="3:8" x14ac:dyDescent="0.35">
      <c r="C104" s="75" t="s">
        <v>273</v>
      </c>
      <c r="D104" s="78">
        <f>H60+H54</f>
        <v>0</v>
      </c>
      <c r="F104" s="22" t="s">
        <v>246</v>
      </c>
      <c r="G104" s="245">
        <f>G102*G103*G101/1000</f>
        <v>109.33021716944899</v>
      </c>
      <c r="H104" s="17"/>
    </row>
    <row r="105" spans="3:8" x14ac:dyDescent="0.35">
      <c r="C105" s="75" t="s">
        <v>195</v>
      </c>
      <c r="D105" s="78">
        <f>H61</f>
        <v>0</v>
      </c>
      <c r="H105" s="141"/>
    </row>
    <row r="106" spans="3:8" x14ac:dyDescent="0.35">
      <c r="C106" s="75" t="s">
        <v>196</v>
      </c>
      <c r="D106" s="78">
        <f>H66</f>
        <v>0</v>
      </c>
      <c r="H106" s="141"/>
    </row>
    <row r="107" spans="3:8" x14ac:dyDescent="0.35">
      <c r="C107" s="75" t="s">
        <v>202</v>
      </c>
      <c r="D107" s="78">
        <f>IF(G43="si",D71*'Prezzi servizi "smart"'!D4,0)</f>
        <v>1668</v>
      </c>
      <c r="H107" s="141"/>
    </row>
    <row r="108" spans="3:8" x14ac:dyDescent="0.35">
      <c r="C108" s="380" t="s">
        <v>271</v>
      </c>
      <c r="D108" s="399">
        <f>'Prezzi smart adaptive lighting'!F34</f>
        <v>2917</v>
      </c>
      <c r="E108" t="s">
        <v>293</v>
      </c>
      <c r="F108" s="455" t="s">
        <v>119</v>
      </c>
      <c r="G108" s="456"/>
      <c r="H108" s="142"/>
    </row>
    <row r="109" spans="3:8" x14ac:dyDescent="0.35">
      <c r="C109" s="380" t="s">
        <v>638</v>
      </c>
      <c r="D109" s="399">
        <f>'Prezzi smart adaptive lighting'!F35</f>
        <v>69.5</v>
      </c>
      <c r="E109" t="s">
        <v>293</v>
      </c>
      <c r="F109" s="130" t="s">
        <v>203</v>
      </c>
      <c r="G109" s="98">
        <f>D72*'Prezzi smart adaptive lighting'!F11</f>
        <v>600</v>
      </c>
      <c r="H109" s="141"/>
    </row>
    <row r="110" spans="3:8" x14ac:dyDescent="0.35">
      <c r="C110" s="91" t="s">
        <v>272</v>
      </c>
      <c r="D110" s="99">
        <f>(G45)*(IF(Autofinanziamento!I45='Prezzi smart adaptive lighting'!B16,'Prezzi smart adaptive lighting'!C16,IF(Autofinanziamento!I45='Prezzi smart adaptive lighting'!B17,'Prezzi smart adaptive lighting'!C17,IF(Autofinanziamento!I45='Prezzi smart adaptive lighting'!B18,'Prezzi smart adaptive lighting'!C18,IF(Autofinanziamento!I45='Prezzi smart adaptive lighting'!B19,'Prezzi smart adaptive lighting'!C19,'Prezzi smart adaptive lighting'!C20)))))+(Autofinanziamento!G46)*(IF(Autofinanziamento!I46='Prezzi smart adaptive lighting'!B16,'Prezzi smart adaptive lighting'!C16,IF(Autofinanziamento!I46='Prezzi smart adaptive lighting'!B17,'Prezzi smart adaptive lighting'!C17,IF(Autofinanziamento!I46='Prezzi smart adaptive lighting'!B18,'Prezzi smart adaptive lighting'!C18,IF(Autofinanziamento!I46='Prezzi smart adaptive lighting'!B19,'Prezzi smart adaptive lighting'!C19,'Prezzi smart adaptive lighting'!C20)))))+(Autofinanziamento!G46)*(IF(Autofinanziamento!J46='Prezzi smart adaptive lighting'!B16,'Prezzi smart adaptive lighting'!C16,IF(Autofinanziamento!J46='Prezzi smart adaptive lighting'!B17,'Prezzi smart adaptive lighting'!C17,IF(Autofinanziamento!J46='Prezzi smart adaptive lighting'!B18,'Prezzi smart adaptive lighting'!C18,IF(Autofinanziamento!J46='Prezzi smart adaptive lighting'!B19,'Prezzi smart adaptive lighting'!C19,'Prezzi smart adaptive lighting'!C20)))))+(Autofinanziamento!G47)*(IF(Autofinanziamento!I47='Prezzi smart adaptive lighting'!B16,'Prezzi smart adaptive lighting'!C16,IF(Autofinanziamento!I47='Prezzi smart adaptive lighting'!B17,'Prezzi smart adaptive lighting'!C17,IF(Autofinanziamento!I47='Prezzi smart adaptive lighting'!B18,'Prezzi smart adaptive lighting'!C18,IF(Autofinanziamento!I47='Prezzi smart adaptive lighting'!B19,'Prezzi smart adaptive lighting'!C19,'Prezzi smart adaptive lighting'!C20)))))+(Autofinanziamento!G47)*(IF(Autofinanziamento!J47='Prezzi smart adaptive lighting'!B16,'Prezzi smart adaptive lighting'!C16,IF(Autofinanziamento!J47='Prezzi smart adaptive lighting'!B17,'Prezzi smart adaptive lighting'!C17,IF(Autofinanziamento!J47='Prezzi smart adaptive lighting'!B18,'Prezzi smart adaptive lighting'!C18,IF(Autofinanziamento!J47='Prezzi smart adaptive lighting'!B19,'Prezzi smart adaptive lighting'!C19,'Prezzi smart adaptive lighting'!C20)))))+(Autofinanziamento!G47)*(IF(Autofinanziamento!K47='Prezzi smart adaptive lighting'!B16,'Prezzi smart adaptive lighting'!C16,IF(Autofinanziamento!K47='Prezzi smart adaptive lighting'!B17,'Prezzi smart adaptive lighting'!C17,IF(Autofinanziamento!K47='Prezzi smart adaptive lighting'!B18,'Prezzi smart adaptive lighting'!C18,IF(Autofinanziamento!K47='Prezzi smart adaptive lighting'!B19,'Prezzi smart adaptive lighting'!C19,'Prezzi smart adaptive lighting'!C20)))))</f>
        <v>13500</v>
      </c>
      <c r="E110" t="s">
        <v>293</v>
      </c>
      <c r="F110" s="91" t="s">
        <v>204</v>
      </c>
      <c r="G110" s="232">
        <f>IF(OR(G60&gt;0,G61&gt;0,G66&gt;0),50000,0)</f>
        <v>0</v>
      </c>
      <c r="H110" s="141" t="s">
        <v>212</v>
      </c>
    </row>
    <row r="111" spans="3:8" x14ac:dyDescent="0.35">
      <c r="C111" s="91" t="s">
        <v>231</v>
      </c>
      <c r="D111" s="389">
        <v>0</v>
      </c>
      <c r="E111" t="s">
        <v>232</v>
      </c>
      <c r="F111" s="16" t="s">
        <v>233</v>
      </c>
      <c r="G111" s="230" t="s">
        <v>114</v>
      </c>
      <c r="H111" s="141"/>
    </row>
    <row r="112" spans="3:8" x14ac:dyDescent="0.35">
      <c r="C112" s="3" t="s">
        <v>294</v>
      </c>
      <c r="D112" s="298"/>
      <c r="F112" s="21" t="s">
        <v>234</v>
      </c>
      <c r="G112" s="231">
        <v>80</v>
      </c>
      <c r="H112" s="141"/>
    </row>
    <row r="113" spans="3:24" x14ac:dyDescent="0.35">
      <c r="C113" s="118" t="s">
        <v>108</v>
      </c>
      <c r="D113" s="119">
        <f>SUM(D88:D112)</f>
        <v>77197.5</v>
      </c>
      <c r="F113" s="21" t="s">
        <v>153</v>
      </c>
      <c r="G113" s="233">
        <f>IF(E37="si",E39,'Prezzi smart adaptive lighting'!C15*D71)*IF((F27&gt;0),(1.1),1)*IF(F32&gt;0,(1.2),1)+IF(E37="si",E39,'Prezzi smart adaptive lighting'!C15*D71)*IF(COUNTBLANK(G44)+COUNTBLANK(G48)+COUNTBLANK(G50:G53)+COUNTBLANK(G55:G56)+COUNTBLANK(G60:G61)+COUNTBLANK(G65:G66)=11,(1.1),0)+IF(E37="si",E39,'Prezzi smart adaptive lighting'!C15*D71)*IF(COUNTBLANK(G44)+COUNTBLANK(G48)+COUNTBLANK(G50:G53)+COUNTBLANK(G55:G56)+COUNTBLANK(G60:G61)+COUNTBLANK(G65:G66)=10,(1.2),0)+IF(E37="si",E39,'Prezzi smart adaptive lighting'!C15*D71)*IF(COUNTBLANK(G44)+COUNTBLANK(G48)+COUNTBLANK(G50:G53)+COUNTBLANK(G55:G56)+COUNTBLANK(G60:G61)+COUNTBLANK(G65:G66)&lt;=9,(1.3),0)+IF(D75&gt;0,500,0)+IF(G111="si",G112,0)</f>
        <v>580</v>
      </c>
      <c r="H113" s="141"/>
    </row>
    <row r="114" spans="3:24" x14ac:dyDescent="0.35">
      <c r="E114" s="12"/>
      <c r="H114" s="141"/>
    </row>
    <row r="115" spans="3:24" x14ac:dyDescent="0.35">
      <c r="C115" s="427" t="s">
        <v>0</v>
      </c>
      <c r="D115" s="428"/>
    </row>
    <row r="116" spans="3:24" x14ac:dyDescent="0.35">
      <c r="C116" s="20" t="s">
        <v>1</v>
      </c>
      <c r="D116" s="81">
        <v>0</v>
      </c>
    </row>
    <row r="117" spans="3:24" x14ac:dyDescent="0.35">
      <c r="C117" s="1" t="s">
        <v>148</v>
      </c>
      <c r="D117" s="114">
        <v>0</v>
      </c>
      <c r="E117" s="71" t="str">
        <f>IF((D117+D119)&lt;1,"ATTENZIONE! Controllare valore","ok")</f>
        <v>ok</v>
      </c>
    </row>
    <row r="118" spans="3:24" x14ac:dyDescent="0.35">
      <c r="C118" s="1" t="s">
        <v>149</v>
      </c>
      <c r="D118" s="132">
        <v>0</v>
      </c>
    </row>
    <row r="119" spans="3:24" x14ac:dyDescent="0.35">
      <c r="C119" s="91" t="s">
        <v>150</v>
      </c>
      <c r="D119" s="115">
        <v>1</v>
      </c>
      <c r="E119" s="71" t="str">
        <f>IF((D117+D119)&lt;1,"ATTENZIONE! Controllare valore","ok")</f>
        <v>ok</v>
      </c>
    </row>
    <row r="120" spans="3:24" x14ac:dyDescent="0.35">
      <c r="C120" s="1" t="s">
        <v>15</v>
      </c>
      <c r="D120" s="114">
        <v>7.0000000000000007E-2</v>
      </c>
    </row>
    <row r="121" spans="3:24" x14ac:dyDescent="0.35">
      <c r="C121" s="1" t="s">
        <v>147</v>
      </c>
      <c r="D121" s="133">
        <v>0</v>
      </c>
      <c r="E121" s="99"/>
    </row>
    <row r="122" spans="3:24" x14ac:dyDescent="0.35">
      <c r="C122" s="91" t="s">
        <v>151</v>
      </c>
      <c r="D122" s="115">
        <v>0.03</v>
      </c>
      <c r="E122" s="100"/>
    </row>
    <row r="123" spans="3:24" x14ac:dyDescent="0.35">
      <c r="C123" s="22" t="s">
        <v>23</v>
      </c>
      <c r="D123" s="79">
        <f>D117*D120+D118*D121+D119*D122</f>
        <v>0.03</v>
      </c>
    </row>
    <row r="124" spans="3:24" x14ac:dyDescent="0.35">
      <c r="C124" s="124"/>
      <c r="D124" s="244"/>
    </row>
    <row r="125" spans="3:24" ht="15" thickBot="1" x14ac:dyDescent="0.4"/>
    <row r="126" spans="3:24" ht="15" thickBot="1" x14ac:dyDescent="0.4">
      <c r="C126" s="451" t="s">
        <v>239</v>
      </c>
      <c r="D126" s="452"/>
      <c r="E126" s="219" t="s">
        <v>115</v>
      </c>
    </row>
    <row r="127" spans="3:24" x14ac:dyDescent="0.35">
      <c r="T127" s="18"/>
      <c r="U127" s="129"/>
      <c r="V127" s="18"/>
      <c r="W127" s="18"/>
      <c r="X127" s="18"/>
    </row>
    <row r="128" spans="3:24" x14ac:dyDescent="0.35">
      <c r="C128" s="5" t="s">
        <v>2</v>
      </c>
      <c r="D128" s="6">
        <v>0</v>
      </c>
      <c r="E128" s="6">
        <v>1</v>
      </c>
      <c r="F128" s="6">
        <v>2</v>
      </c>
      <c r="G128" s="6">
        <v>3</v>
      </c>
      <c r="H128" s="6">
        <v>4</v>
      </c>
      <c r="I128" s="6">
        <v>5</v>
      </c>
      <c r="J128" s="6">
        <v>6</v>
      </c>
      <c r="K128" s="6">
        <v>7</v>
      </c>
      <c r="L128" s="6">
        <v>8</v>
      </c>
      <c r="M128" s="6">
        <v>9</v>
      </c>
      <c r="N128" s="6">
        <v>10</v>
      </c>
      <c r="O128" s="6">
        <v>11</v>
      </c>
      <c r="P128" s="6">
        <v>12</v>
      </c>
      <c r="Q128" s="6">
        <v>13</v>
      </c>
      <c r="R128" s="6">
        <v>14</v>
      </c>
      <c r="S128" s="6">
        <v>15</v>
      </c>
      <c r="T128" s="129"/>
      <c r="U128" s="129"/>
      <c r="V128" s="129"/>
      <c r="W128" s="129"/>
      <c r="X128" s="129"/>
    </row>
    <row r="129" spans="3:25" x14ac:dyDescent="0.35">
      <c r="C129" s="7" t="s">
        <v>3</v>
      </c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18"/>
      <c r="U129" s="18"/>
      <c r="V129" s="18"/>
      <c r="W129" s="18"/>
      <c r="X129" s="18"/>
    </row>
    <row r="130" spans="3:25" x14ac:dyDescent="0.35">
      <c r="C130" s="9" t="s">
        <v>128</v>
      </c>
      <c r="D130" s="149">
        <f>-D113</f>
        <v>-77197.5</v>
      </c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8"/>
      <c r="U130" s="18"/>
      <c r="V130" s="18"/>
      <c r="W130" s="18"/>
      <c r="X130" s="18"/>
    </row>
    <row r="131" spans="3:25" x14ac:dyDescent="0.35">
      <c r="C131" s="7" t="s">
        <v>4</v>
      </c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18"/>
      <c r="U131" s="18"/>
      <c r="V131" s="18"/>
      <c r="W131" s="18"/>
      <c r="X131" s="18"/>
    </row>
    <row r="132" spans="3:25" s="99" customFormat="1" x14ac:dyDescent="0.35">
      <c r="C132" s="102" t="s">
        <v>22</v>
      </c>
      <c r="D132" s="103"/>
      <c r="E132" s="103">
        <f>($G$96-$G$95)*$G$94</f>
        <v>9955.0897019999993</v>
      </c>
      <c r="F132" s="103">
        <f t="shared" ref="F132:S132" si="2">($G$96-$G$95)*$G$94</f>
        <v>9955.0897019999993</v>
      </c>
      <c r="G132" s="103">
        <f t="shared" si="2"/>
        <v>9955.0897019999993</v>
      </c>
      <c r="H132" s="103">
        <f t="shared" si="2"/>
        <v>9955.0897019999993</v>
      </c>
      <c r="I132" s="103">
        <f t="shared" si="2"/>
        <v>9955.0897019999993</v>
      </c>
      <c r="J132" s="103">
        <f t="shared" si="2"/>
        <v>9955.0897019999993</v>
      </c>
      <c r="K132" s="103">
        <f t="shared" si="2"/>
        <v>9955.0897019999993</v>
      </c>
      <c r="L132" s="103">
        <f t="shared" si="2"/>
        <v>9955.0897019999993</v>
      </c>
      <c r="M132" s="103">
        <f t="shared" si="2"/>
        <v>9955.0897019999993</v>
      </c>
      <c r="N132" s="103">
        <f t="shared" si="2"/>
        <v>9955.0897019999993</v>
      </c>
      <c r="O132" s="103">
        <f t="shared" si="2"/>
        <v>9955.0897019999993</v>
      </c>
      <c r="P132" s="103">
        <f t="shared" si="2"/>
        <v>9955.0897019999993</v>
      </c>
      <c r="Q132" s="103">
        <f t="shared" si="2"/>
        <v>9955.0897019999993</v>
      </c>
      <c r="R132" s="103">
        <f t="shared" si="2"/>
        <v>9955.0897019999993</v>
      </c>
      <c r="S132" s="98">
        <f t="shared" si="2"/>
        <v>9955.0897019999993</v>
      </c>
      <c r="T132" s="134"/>
      <c r="U132" s="134"/>
      <c r="V132" s="134"/>
      <c r="W132" s="134"/>
      <c r="X132" s="134"/>
    </row>
    <row r="133" spans="3:25" s="99" customFormat="1" x14ac:dyDescent="0.35">
      <c r="C133" s="104" t="s">
        <v>121</v>
      </c>
      <c r="D133" s="105"/>
      <c r="E133" s="105">
        <f>IF($G$84="si",0,($G$86-$G$85))-IF($G$60&gt;0,0.1*($H$60+$G$60*'Prezzi servizi "smart"'!$I$12),0)-IF(Autofinanziamento!$G$61&gt;0,0.1*(Autofinanziamento!$D$105+Autofinanziamento!$G$61*'Prezzi servizi "smart"'!$I$17),0)</f>
        <v>0</v>
      </c>
      <c r="F133" s="105">
        <f>IF($G$84="si",0,($G$86-$G$85))-IF($G$60&gt;0,0.1*($H$60+$G$60*'Prezzi servizi "smart"'!$I$12),0)-IF(Autofinanziamento!$G$61&gt;0,0.1*(Autofinanziamento!$D$105+Autofinanziamento!$G$61*'Prezzi servizi "smart"'!$I$17),0)</f>
        <v>0</v>
      </c>
      <c r="G133" s="105">
        <f>IF($G$84="si",0,($G$86-$G$85))-IF($G$60&gt;0,0.1*($H$60+$G$60*'Prezzi servizi "smart"'!$I$12),0)-IF(Autofinanziamento!$G$61&gt;0,0.1*(Autofinanziamento!$D$105+Autofinanziamento!$G$61*'Prezzi servizi "smart"'!$I$17),0)</f>
        <v>0</v>
      </c>
      <c r="H133" s="105">
        <f>IF($G$84="si",0,($G$86-$G$85))-IF($G$60&gt;0,0.1*($H$60+$G$60*'Prezzi servizi "smart"'!$I$12),0)-IF(Autofinanziamento!$G$61&gt;0,0.1*(Autofinanziamento!$D$105+Autofinanziamento!$G$61*'Prezzi servizi "smart"'!$I$17),0)</f>
        <v>0</v>
      </c>
      <c r="I133" s="105">
        <f>IF($G$84="si",0,($G$86-$G$85))-IF($G$60&gt;0,0.1*($H$60+$G$60*'Prezzi servizi "smart"'!$I$12),0)-IF(Autofinanziamento!$G$61&gt;0,0.1*(Autofinanziamento!$D$105+Autofinanziamento!$G$61*'Prezzi servizi "smart"'!$I$17),0)</f>
        <v>0</v>
      </c>
      <c r="J133" s="105">
        <f>IF($G$84="si",0,($G$86-$G$85))-IF($G$60&gt;0,0.1*($H$60+$G$60*'Prezzi servizi "smart"'!$I$12),0)-IF(Autofinanziamento!$G$61&gt;0,0.1*(Autofinanziamento!$D$105+Autofinanziamento!$G$61*'Prezzi servizi "smart"'!$I$17),0)</f>
        <v>0</v>
      </c>
      <c r="K133" s="105">
        <f>IF($G$84="si",0,($G$86-$G$85))-IF($G$60&gt;0,0.1*($H$60+$G$60*'Prezzi servizi "smart"'!$I$12),0)-IF(Autofinanziamento!$G$61&gt;0,0.1*(Autofinanziamento!$D$105+Autofinanziamento!$G$61*'Prezzi servizi "smart"'!$I$17),0)</f>
        <v>0</v>
      </c>
      <c r="L133" s="105">
        <f>IF($G$84="si",0,($G$86-$G$85))-IF($G$60&gt;0,0.1*($H$60+$G$60*'Prezzi servizi "smart"'!$I$12),0)-IF(Autofinanziamento!$G$61&gt;0,0.1*(Autofinanziamento!$D$105+Autofinanziamento!$G$61*'Prezzi servizi "smart"'!$I$17),0)</f>
        <v>0</v>
      </c>
      <c r="M133" s="105">
        <f>IF($G$84="si",0,($G$86-$G$85))-IF($G$60&gt;0,0.1*($H$60+$G$60*'Prezzi servizi "smart"'!$I$12),0)-IF(Autofinanziamento!$G$61&gt;0,0.1*(Autofinanziamento!$D$105+Autofinanziamento!$G$61*'Prezzi servizi "smart"'!$I$17),0)</f>
        <v>0</v>
      </c>
      <c r="N133" s="105">
        <f>IF($G$84="si",0,($G$86-$G$85))-IF($G$60&gt;0,0.1*($H$60+$G$60*'Prezzi servizi "smart"'!$I$12),0)-IF(Autofinanziamento!$G$61&gt;0,0.1*(Autofinanziamento!$D$105+Autofinanziamento!$G$61*'Prezzi servizi "smart"'!$I$17),0)</f>
        <v>0</v>
      </c>
      <c r="O133" s="105">
        <f>IF($G$84="si",0,($G$86-$G$85))-IF($G$60&gt;0,0.1*($H$60+$G$60*'Prezzi servizi "smart"'!$I$12),0)-IF(Autofinanziamento!$G$61&gt;0,0.1*(Autofinanziamento!$D$105+Autofinanziamento!$G$61*'Prezzi servizi "smart"'!$I$17),0)</f>
        <v>0</v>
      </c>
      <c r="P133" s="105">
        <f>IF($G$84="si",0,($G$86-$G$85))-IF($G$60&gt;0,0.1*($H$60+$G$60*'Prezzi servizi "smart"'!$I$12),0)-IF(Autofinanziamento!$G$61&gt;0,0.1*(Autofinanziamento!$D$105+Autofinanziamento!$G$61*'Prezzi servizi "smart"'!$I$17),0)</f>
        <v>0</v>
      </c>
      <c r="Q133" s="105">
        <f>IF($G$84="si",0,($G$86-$G$85))-IF($G$60&gt;0,0.1*($H$60+$G$60*'Prezzi servizi "smart"'!$I$12),0)-IF(Autofinanziamento!$G$61&gt;0,0.1*(Autofinanziamento!$D$105+Autofinanziamento!$G$61*'Prezzi servizi "smart"'!$I$17),0)</f>
        <v>0</v>
      </c>
      <c r="R133" s="105">
        <f>IF($G$84="si",0,($G$86-$G$85))-IF($G$60&gt;0,0.1*($H$60+$G$60*'Prezzi servizi "smart"'!$I$12),0)-IF(Autofinanziamento!$G$61&gt;0,0.1*(Autofinanziamento!$D$105+Autofinanziamento!$G$61*'Prezzi servizi "smart"'!$I$17),0)</f>
        <v>0</v>
      </c>
      <c r="S133" s="105">
        <f>IF($G$84="si",0,($G$86-$G$85))-IF($G$60&gt;0,0.1*($H$60+$G$60*'Prezzi servizi "smart"'!$I$12),0)-IF(Autofinanziamento!$G$61&gt;0,0.1*(Autofinanziamento!$D$105+Autofinanziamento!$G$61*'Prezzi servizi "smart"'!$I$17),0)</f>
        <v>0</v>
      </c>
      <c r="T133" s="134"/>
      <c r="U133" s="134"/>
      <c r="V133" s="134"/>
      <c r="W133" s="134"/>
      <c r="X133" s="134"/>
    </row>
    <row r="134" spans="3:25" s="99" customFormat="1" x14ac:dyDescent="0.35">
      <c r="C134" s="104" t="s">
        <v>238</v>
      </c>
      <c r="D134" s="105"/>
      <c r="E134" s="105">
        <f>IF($E$126="si",$G$104,0)</f>
        <v>0</v>
      </c>
      <c r="F134" s="105">
        <f t="shared" ref="F134:S134" si="3">IF($E$126="si",$G$104,0)</f>
        <v>0</v>
      </c>
      <c r="G134" s="105">
        <f t="shared" si="3"/>
        <v>0</v>
      </c>
      <c r="H134" s="105">
        <f t="shared" si="3"/>
        <v>0</v>
      </c>
      <c r="I134" s="105">
        <f t="shared" si="3"/>
        <v>0</v>
      </c>
      <c r="J134" s="105">
        <f t="shared" si="3"/>
        <v>0</v>
      </c>
      <c r="K134" s="105">
        <f t="shared" si="3"/>
        <v>0</v>
      </c>
      <c r="L134" s="105">
        <f t="shared" si="3"/>
        <v>0</v>
      </c>
      <c r="M134" s="105">
        <f t="shared" si="3"/>
        <v>0</v>
      </c>
      <c r="N134" s="105">
        <f t="shared" si="3"/>
        <v>0</v>
      </c>
      <c r="O134" s="105">
        <f t="shared" si="3"/>
        <v>0</v>
      </c>
      <c r="P134" s="105">
        <f t="shared" si="3"/>
        <v>0</v>
      </c>
      <c r="Q134" s="105">
        <f t="shared" si="3"/>
        <v>0</v>
      </c>
      <c r="R134" s="105">
        <f t="shared" si="3"/>
        <v>0</v>
      </c>
      <c r="S134" s="105">
        <f t="shared" si="3"/>
        <v>0</v>
      </c>
      <c r="T134" s="135"/>
      <c r="U134" s="135"/>
      <c r="V134" s="135"/>
      <c r="W134" s="135"/>
      <c r="X134" s="135"/>
      <c r="Y134" s="105"/>
    </row>
    <row r="135" spans="3:25" x14ac:dyDescent="0.35">
      <c r="C135" s="106" t="s">
        <v>5</v>
      </c>
      <c r="D135" s="107"/>
      <c r="E135" s="108">
        <f>SUM(E132:E134)</f>
        <v>9955.0897019999993</v>
      </c>
      <c r="F135" s="108">
        <f t="shared" ref="F135:S135" si="4">SUM(F132:F134)</f>
        <v>9955.0897019999993</v>
      </c>
      <c r="G135" s="108">
        <f>SUM(G132:G134)</f>
        <v>9955.0897019999993</v>
      </c>
      <c r="H135" s="108">
        <f t="shared" si="4"/>
        <v>9955.0897019999993</v>
      </c>
      <c r="I135" s="108">
        <f t="shared" si="4"/>
        <v>9955.0897019999993</v>
      </c>
      <c r="J135" s="108">
        <f t="shared" si="4"/>
        <v>9955.0897019999993</v>
      </c>
      <c r="K135" s="108">
        <f t="shared" si="4"/>
        <v>9955.0897019999993</v>
      </c>
      <c r="L135" s="108">
        <f t="shared" si="4"/>
        <v>9955.0897019999993</v>
      </c>
      <c r="M135" s="108">
        <f t="shared" si="4"/>
        <v>9955.0897019999993</v>
      </c>
      <c r="N135" s="108">
        <f t="shared" si="4"/>
        <v>9955.0897019999993</v>
      </c>
      <c r="O135" s="108">
        <f t="shared" si="4"/>
        <v>9955.0897019999993</v>
      </c>
      <c r="P135" s="108">
        <f t="shared" si="4"/>
        <v>9955.0897019999993</v>
      </c>
      <c r="Q135" s="108">
        <f t="shared" si="4"/>
        <v>9955.0897019999993</v>
      </c>
      <c r="R135" s="108">
        <f t="shared" si="4"/>
        <v>9955.0897019999993</v>
      </c>
      <c r="S135" s="108">
        <f t="shared" si="4"/>
        <v>9955.0897019999993</v>
      </c>
      <c r="T135" s="18"/>
      <c r="U135" s="18"/>
      <c r="V135" s="18"/>
      <c r="W135" s="18"/>
      <c r="X135" s="18"/>
      <c r="Y135" s="12"/>
    </row>
    <row r="136" spans="3:25" s="99" customFormat="1" x14ac:dyDescent="0.35">
      <c r="C136" s="7" t="s">
        <v>6</v>
      </c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134"/>
      <c r="U136" s="134"/>
      <c r="V136" s="134"/>
      <c r="W136" s="134"/>
      <c r="X136" s="134"/>
      <c r="Y136" s="105"/>
    </row>
    <row r="137" spans="3:25" s="99" customFormat="1" x14ac:dyDescent="0.35">
      <c r="C137" s="104" t="s">
        <v>120</v>
      </c>
      <c r="D137" s="105"/>
      <c r="E137" s="105">
        <f t="shared" ref="E137:S137" si="5">$G$109+$G$110</f>
        <v>600</v>
      </c>
      <c r="F137" s="105">
        <f t="shared" si="5"/>
        <v>600</v>
      </c>
      <c r="G137" s="105">
        <f t="shared" si="5"/>
        <v>600</v>
      </c>
      <c r="H137" s="105">
        <f t="shared" si="5"/>
        <v>600</v>
      </c>
      <c r="I137" s="105">
        <f t="shared" si="5"/>
        <v>600</v>
      </c>
      <c r="J137" s="105">
        <f t="shared" si="5"/>
        <v>600</v>
      </c>
      <c r="K137" s="105">
        <f t="shared" si="5"/>
        <v>600</v>
      </c>
      <c r="L137" s="105">
        <f t="shared" si="5"/>
        <v>600</v>
      </c>
      <c r="M137" s="105">
        <f t="shared" si="5"/>
        <v>600</v>
      </c>
      <c r="N137" s="105">
        <f t="shared" si="5"/>
        <v>600</v>
      </c>
      <c r="O137" s="105">
        <f t="shared" si="5"/>
        <v>600</v>
      </c>
      <c r="P137" s="105">
        <f t="shared" si="5"/>
        <v>600</v>
      </c>
      <c r="Q137" s="105">
        <f t="shared" si="5"/>
        <v>600</v>
      </c>
      <c r="R137" s="105">
        <f t="shared" si="5"/>
        <v>600</v>
      </c>
      <c r="S137" s="105">
        <f t="shared" si="5"/>
        <v>600</v>
      </c>
      <c r="T137" s="134"/>
      <c r="U137" s="134"/>
      <c r="V137" s="134"/>
      <c r="W137" s="134"/>
      <c r="X137" s="134"/>
      <c r="Y137" s="105"/>
    </row>
    <row r="138" spans="3:25" s="99" customFormat="1" x14ac:dyDescent="0.35">
      <c r="C138" s="104" t="s">
        <v>122</v>
      </c>
      <c r="D138" s="105"/>
      <c r="E138" s="111">
        <f t="shared" ref="E138:S138" si="6">$G$113</f>
        <v>580</v>
      </c>
      <c r="F138" s="111">
        <f t="shared" si="6"/>
        <v>580</v>
      </c>
      <c r="G138" s="111">
        <f t="shared" si="6"/>
        <v>580</v>
      </c>
      <c r="H138" s="111">
        <f t="shared" si="6"/>
        <v>580</v>
      </c>
      <c r="I138" s="111">
        <f t="shared" si="6"/>
        <v>580</v>
      </c>
      <c r="J138" s="111">
        <f t="shared" si="6"/>
        <v>580</v>
      </c>
      <c r="K138" s="111">
        <f t="shared" si="6"/>
        <v>580</v>
      </c>
      <c r="L138" s="111">
        <f t="shared" si="6"/>
        <v>580</v>
      </c>
      <c r="M138" s="111">
        <f t="shared" si="6"/>
        <v>580</v>
      </c>
      <c r="N138" s="111">
        <f t="shared" si="6"/>
        <v>580</v>
      </c>
      <c r="O138" s="111">
        <f t="shared" si="6"/>
        <v>580</v>
      </c>
      <c r="P138" s="111">
        <f t="shared" si="6"/>
        <v>580</v>
      </c>
      <c r="Q138" s="111">
        <f t="shared" si="6"/>
        <v>580</v>
      </c>
      <c r="R138" s="111">
        <f t="shared" si="6"/>
        <v>580</v>
      </c>
      <c r="S138" s="111">
        <f t="shared" si="6"/>
        <v>580</v>
      </c>
      <c r="T138" s="135"/>
      <c r="U138" s="135"/>
      <c r="V138" s="135"/>
      <c r="W138" s="135"/>
      <c r="X138" s="135"/>
      <c r="Y138" s="105"/>
    </row>
    <row r="139" spans="3:25" x14ac:dyDescent="0.35">
      <c r="C139" s="106" t="s">
        <v>7</v>
      </c>
      <c r="D139" s="107"/>
      <c r="E139" s="108">
        <f t="shared" ref="E139:S139" si="7">SUM(E137:E138)</f>
        <v>1180</v>
      </c>
      <c r="F139" s="108">
        <f t="shared" si="7"/>
        <v>1180</v>
      </c>
      <c r="G139" s="108">
        <f t="shared" si="7"/>
        <v>1180</v>
      </c>
      <c r="H139" s="108">
        <f t="shared" si="7"/>
        <v>1180</v>
      </c>
      <c r="I139" s="108">
        <f t="shared" si="7"/>
        <v>1180</v>
      </c>
      <c r="J139" s="108">
        <f t="shared" si="7"/>
        <v>1180</v>
      </c>
      <c r="K139" s="108">
        <f t="shared" si="7"/>
        <v>1180</v>
      </c>
      <c r="L139" s="108">
        <f t="shared" si="7"/>
        <v>1180</v>
      </c>
      <c r="M139" s="108">
        <f t="shared" si="7"/>
        <v>1180</v>
      </c>
      <c r="N139" s="108">
        <f t="shared" si="7"/>
        <v>1180</v>
      </c>
      <c r="O139" s="108">
        <f t="shared" si="7"/>
        <v>1180</v>
      </c>
      <c r="P139" s="108">
        <f t="shared" si="7"/>
        <v>1180</v>
      </c>
      <c r="Q139" s="108">
        <f t="shared" si="7"/>
        <v>1180</v>
      </c>
      <c r="R139" s="108">
        <f t="shared" si="7"/>
        <v>1180</v>
      </c>
      <c r="S139" s="108">
        <f t="shared" si="7"/>
        <v>1180</v>
      </c>
      <c r="T139" s="18"/>
      <c r="U139" s="18"/>
      <c r="V139" s="18"/>
      <c r="W139" s="18"/>
      <c r="X139" s="18"/>
    </row>
    <row r="140" spans="3:25" s="99" customFormat="1" x14ac:dyDescent="0.35">
      <c r="C140" s="7" t="s">
        <v>8</v>
      </c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134"/>
      <c r="U140" s="134"/>
      <c r="V140" s="134"/>
      <c r="W140" s="134"/>
      <c r="X140" s="134"/>
    </row>
    <row r="141" spans="3:25" s="99" customFormat="1" x14ac:dyDescent="0.35">
      <c r="C141" s="102" t="s">
        <v>8</v>
      </c>
      <c r="D141" s="103">
        <f>D130</f>
        <v>-77197.5</v>
      </c>
      <c r="E141" s="103">
        <f>E135-E139</f>
        <v>8775.0897019999993</v>
      </c>
      <c r="F141" s="103">
        <f t="shared" ref="F141:S141" si="8">F135-F139</f>
        <v>8775.0897019999993</v>
      </c>
      <c r="G141" s="103">
        <f t="shared" si="8"/>
        <v>8775.0897019999993</v>
      </c>
      <c r="H141" s="103">
        <f t="shared" si="8"/>
        <v>8775.0897019999993</v>
      </c>
      <c r="I141" s="103">
        <f t="shared" si="8"/>
        <v>8775.0897019999993</v>
      </c>
      <c r="J141" s="103">
        <f t="shared" si="8"/>
        <v>8775.0897019999993</v>
      </c>
      <c r="K141" s="103">
        <f t="shared" si="8"/>
        <v>8775.0897019999993</v>
      </c>
      <c r="L141" s="103">
        <f t="shared" si="8"/>
        <v>8775.0897019999993</v>
      </c>
      <c r="M141" s="103">
        <f t="shared" si="8"/>
        <v>8775.0897019999993</v>
      </c>
      <c r="N141" s="103">
        <f t="shared" si="8"/>
        <v>8775.0897019999993</v>
      </c>
      <c r="O141" s="103">
        <f t="shared" si="8"/>
        <v>8775.0897019999993</v>
      </c>
      <c r="P141" s="103">
        <f t="shared" si="8"/>
        <v>8775.0897019999993</v>
      </c>
      <c r="Q141" s="103">
        <f t="shared" si="8"/>
        <v>8775.0897019999993</v>
      </c>
      <c r="R141" s="103">
        <f t="shared" si="8"/>
        <v>8775.0897019999993</v>
      </c>
      <c r="S141" s="103">
        <f t="shared" si="8"/>
        <v>8775.0897019999993</v>
      </c>
      <c r="T141" s="134"/>
      <c r="U141" s="134"/>
      <c r="V141" s="134"/>
      <c r="W141" s="134"/>
      <c r="X141" s="134"/>
    </row>
    <row r="142" spans="3:25" s="99" customFormat="1" x14ac:dyDescent="0.35">
      <c r="C142" s="104" t="s">
        <v>9</v>
      </c>
      <c r="D142" s="105">
        <f t="shared" ref="D142:S142" si="9">D141/(1+$D$123)^D128</f>
        <v>-77197.5</v>
      </c>
      <c r="E142" s="105">
        <f t="shared" si="9"/>
        <v>8519.5045650485426</v>
      </c>
      <c r="F142" s="105">
        <f t="shared" si="9"/>
        <v>8271.3636553869346</v>
      </c>
      <c r="G142" s="105">
        <f t="shared" si="9"/>
        <v>8030.450150861102</v>
      </c>
      <c r="H142" s="105">
        <f t="shared" si="9"/>
        <v>7796.5535445253427</v>
      </c>
      <c r="I142" s="105">
        <f t="shared" si="9"/>
        <v>7569.4694607042165</v>
      </c>
      <c r="J142" s="105">
        <f t="shared" si="9"/>
        <v>7348.9994764118601</v>
      </c>
      <c r="K142" s="105">
        <f t="shared" si="9"/>
        <v>7134.9509479726794</v>
      </c>
      <c r="L142" s="105">
        <f t="shared" si="9"/>
        <v>6927.1368426919225</v>
      </c>
      <c r="M142" s="105">
        <f t="shared" si="9"/>
        <v>6725.3755754290505</v>
      </c>
      <c r="N142" s="105">
        <f t="shared" si="9"/>
        <v>6529.4908499311168</v>
      </c>
      <c r="O142" s="105">
        <f t="shared" si="9"/>
        <v>6339.3115047874917</v>
      </c>
      <c r="P142" s="105">
        <f t="shared" si="9"/>
        <v>6154.6713638713527</v>
      </c>
      <c r="Q142" s="105">
        <f t="shared" si="9"/>
        <v>5975.4090911372359</v>
      </c>
      <c r="R142" s="105">
        <f t="shared" si="9"/>
        <v>5801.3680496478009</v>
      </c>
      <c r="S142" s="105">
        <f t="shared" si="9"/>
        <v>5632.3961647066026</v>
      </c>
      <c r="T142" s="135"/>
      <c r="U142" s="135"/>
      <c r="V142" s="135"/>
      <c r="W142" s="135"/>
      <c r="X142" s="135"/>
    </row>
    <row r="143" spans="3:25" x14ac:dyDescent="0.35">
      <c r="C143" s="112" t="s">
        <v>157</v>
      </c>
      <c r="D143" s="109">
        <f>D142</f>
        <v>-77197.5</v>
      </c>
      <c r="E143" s="109">
        <f>D143+E142</f>
        <v>-68677.995434951459</v>
      </c>
      <c r="F143" s="109">
        <f>E143+F142</f>
        <v>-60406.631779564523</v>
      </c>
      <c r="G143" s="109">
        <f t="shared" ref="G143:S143" si="10">F143+G142</f>
        <v>-52376.181628703423</v>
      </c>
      <c r="H143" s="109">
        <f t="shared" si="10"/>
        <v>-44579.628084178083</v>
      </c>
      <c r="I143" s="109">
        <f t="shared" si="10"/>
        <v>-37010.158623473864</v>
      </c>
      <c r="J143" s="109">
        <f t="shared" si="10"/>
        <v>-29661.159147062004</v>
      </c>
      <c r="K143" s="109">
        <f t="shared" si="10"/>
        <v>-22526.208199089324</v>
      </c>
      <c r="L143" s="109">
        <f t="shared" si="10"/>
        <v>-15599.071356397402</v>
      </c>
      <c r="M143" s="109">
        <f t="shared" si="10"/>
        <v>-8873.6957809683518</v>
      </c>
      <c r="N143" s="109">
        <f t="shared" si="10"/>
        <v>-2344.2049310372349</v>
      </c>
      <c r="O143" s="109">
        <f t="shared" si="10"/>
        <v>3995.1065737502568</v>
      </c>
      <c r="P143" s="109">
        <f t="shared" si="10"/>
        <v>10149.777937621609</v>
      </c>
      <c r="Q143" s="109">
        <f t="shared" si="10"/>
        <v>16125.187028758846</v>
      </c>
      <c r="R143" s="109">
        <f t="shared" si="10"/>
        <v>21926.555078406647</v>
      </c>
      <c r="S143" s="109">
        <f t="shared" si="10"/>
        <v>27558.95124311325</v>
      </c>
      <c r="T143" s="18"/>
      <c r="U143" s="18"/>
      <c r="V143" s="18"/>
      <c r="W143" s="18"/>
      <c r="X143" s="18"/>
    </row>
    <row r="144" spans="3:25" x14ac:dyDescent="0.35">
      <c r="C144" s="14"/>
      <c r="D144" s="13"/>
    </row>
    <row r="145" spans="3:4" x14ac:dyDescent="0.35">
      <c r="C145" s="227" t="s">
        <v>10</v>
      </c>
      <c r="D145" s="228"/>
    </row>
    <row r="146" spans="3:4" x14ac:dyDescent="0.35">
      <c r="C146" s="15" t="s">
        <v>11</v>
      </c>
      <c r="D146" s="77">
        <f>SUM(D142:Y142)</f>
        <v>27558.95124311325</v>
      </c>
    </row>
    <row r="147" spans="3:4" x14ac:dyDescent="0.35">
      <c r="C147" s="16" t="s">
        <v>12</v>
      </c>
      <c r="D147" s="2">
        <f>IRR(D141:X141)</f>
        <v>7.554456293386913E-2</v>
      </c>
    </row>
    <row r="148" spans="3:4" x14ac:dyDescent="0.35">
      <c r="C148" s="11" t="s">
        <v>13</v>
      </c>
      <c r="D148" s="4">
        <f>IF(COUNTIF(D143:X143,"&lt;0")&lt;16,COUNTIF(D143:X143,"&lt;0"),"&gt;vu")</f>
        <v>11</v>
      </c>
    </row>
    <row r="169" spans="3:19" x14ac:dyDescent="0.35">
      <c r="C169" s="5" t="s">
        <v>2</v>
      </c>
      <c r="D169" s="6">
        <v>0</v>
      </c>
      <c r="E169" s="6">
        <v>1</v>
      </c>
      <c r="F169" s="6">
        <v>2</v>
      </c>
      <c r="G169" s="6">
        <v>3</v>
      </c>
      <c r="H169" s="6">
        <v>4</v>
      </c>
      <c r="I169" s="6">
        <v>5</v>
      </c>
      <c r="J169" s="6">
        <v>6</v>
      </c>
      <c r="K169" s="6">
        <v>7</v>
      </c>
      <c r="L169" s="6">
        <v>8</v>
      </c>
      <c r="M169" s="6">
        <v>9</v>
      </c>
      <c r="N169" s="6">
        <v>10</v>
      </c>
      <c r="O169" s="6">
        <v>11</v>
      </c>
      <c r="P169" s="6">
        <v>12</v>
      </c>
      <c r="Q169" s="6">
        <v>13</v>
      </c>
      <c r="R169" s="6">
        <v>14</v>
      </c>
      <c r="S169" s="6">
        <v>15</v>
      </c>
    </row>
    <row r="170" spans="3:19" x14ac:dyDescent="0.35">
      <c r="C170" s="102" t="s">
        <v>22</v>
      </c>
      <c r="E170" s="252">
        <f>(E132)/(1+$D$123)^E128</f>
        <v>9665.1356330097078</v>
      </c>
      <c r="F170" s="252">
        <f t="shared" ref="F170:S170" si="11">(F132)/(1+$D$123)^F128</f>
        <v>9383.6268281647663</v>
      </c>
      <c r="G170" s="252">
        <f t="shared" si="11"/>
        <v>9110.317308897831</v>
      </c>
      <c r="H170" s="252">
        <f t="shared" si="11"/>
        <v>8844.9682610658547</v>
      </c>
      <c r="I170" s="252">
        <f t="shared" si="11"/>
        <v>8587.3478262775297</v>
      </c>
      <c r="J170" s="252">
        <f t="shared" si="11"/>
        <v>8337.2308992985727</v>
      </c>
      <c r="K170" s="252">
        <f t="shared" si="11"/>
        <v>8094.3989313578368</v>
      </c>
      <c r="L170" s="252">
        <f t="shared" si="11"/>
        <v>7858.6397391823666</v>
      </c>
      <c r="M170" s="252">
        <f t="shared" si="11"/>
        <v>7629.7473195945304</v>
      </c>
      <c r="N170" s="252">
        <f t="shared" si="11"/>
        <v>7407.5216695092531</v>
      </c>
      <c r="O170" s="252">
        <f t="shared" si="11"/>
        <v>7191.7686111740313</v>
      </c>
      <c r="P170" s="252">
        <f t="shared" si="11"/>
        <v>6982.2996224990611</v>
      </c>
      <c r="Q170" s="252">
        <f t="shared" si="11"/>
        <v>6778.9316723291859</v>
      </c>
      <c r="R170" s="252">
        <f t="shared" si="11"/>
        <v>6581.4870605137721</v>
      </c>
      <c r="S170" s="252">
        <f t="shared" si="11"/>
        <v>6389.7932626347292</v>
      </c>
    </row>
    <row r="171" spans="3:19" x14ac:dyDescent="0.35">
      <c r="C171" s="104" t="s">
        <v>121</v>
      </c>
      <c r="E171" s="252">
        <f>(E133)/(1+$D$123)^E128</f>
        <v>0</v>
      </c>
      <c r="F171" s="252">
        <f t="shared" ref="F171:S171" si="12">(F133)/(1+$D$123)^F128</f>
        <v>0</v>
      </c>
      <c r="G171" s="252">
        <f t="shared" si="12"/>
        <v>0</v>
      </c>
      <c r="H171" s="252">
        <f t="shared" si="12"/>
        <v>0</v>
      </c>
      <c r="I171" s="252">
        <f t="shared" si="12"/>
        <v>0</v>
      </c>
      <c r="J171" s="252">
        <f t="shared" si="12"/>
        <v>0</v>
      </c>
      <c r="K171" s="252">
        <f t="shared" si="12"/>
        <v>0</v>
      </c>
      <c r="L171" s="252">
        <f t="shared" si="12"/>
        <v>0</v>
      </c>
      <c r="M171" s="252">
        <f t="shared" si="12"/>
        <v>0</v>
      </c>
      <c r="N171" s="252">
        <f t="shared" si="12"/>
        <v>0</v>
      </c>
      <c r="O171" s="252">
        <f t="shared" si="12"/>
        <v>0</v>
      </c>
      <c r="P171" s="252">
        <f t="shared" si="12"/>
        <v>0</v>
      </c>
      <c r="Q171" s="252">
        <f t="shared" si="12"/>
        <v>0</v>
      </c>
      <c r="R171" s="252">
        <f t="shared" si="12"/>
        <v>0</v>
      </c>
      <c r="S171" s="252">
        <f t="shared" si="12"/>
        <v>0</v>
      </c>
    </row>
    <row r="172" spans="3:19" x14ac:dyDescent="0.35">
      <c r="C172" s="104" t="s">
        <v>238</v>
      </c>
      <c r="E172" s="252">
        <f>($G$104)/(1+$D$123)^E128</f>
        <v>106.1458419120864</v>
      </c>
      <c r="F172" s="252">
        <f>($G$104)/(1+$D$123)^F128</f>
        <v>103.05421544862757</v>
      </c>
      <c r="G172" s="252">
        <f t="shared" ref="G172:S172" si="13">($G$104)/(1+$D$123)^G128</f>
        <v>100.05263635789085</v>
      </c>
      <c r="H172" s="252">
        <f t="shared" si="13"/>
        <v>97.138481900864903</v>
      </c>
      <c r="I172" s="252">
        <f t="shared" si="13"/>
        <v>94.309205728995053</v>
      </c>
      <c r="J172" s="252">
        <f t="shared" si="13"/>
        <v>91.56233565921849</v>
      </c>
      <c r="K172" s="252">
        <f t="shared" si="13"/>
        <v>88.895471513804353</v>
      </c>
      <c r="L172" s="252">
        <f t="shared" si="13"/>
        <v>86.306283023111035</v>
      </c>
      <c r="M172" s="252">
        <f t="shared" si="13"/>
        <v>83.792507789428186</v>
      </c>
      <c r="N172" s="252">
        <f t="shared" si="13"/>
        <v>81.351949310124454</v>
      </c>
      <c r="O172" s="252">
        <f t="shared" si="13"/>
        <v>78.982475058373254</v>
      </c>
      <c r="P172" s="252">
        <f t="shared" si="13"/>
        <v>76.682014619779878</v>
      </c>
      <c r="Q172" s="252">
        <f t="shared" si="13"/>
        <v>74.448557883281438</v>
      </c>
      <c r="R172" s="252">
        <f t="shared" si="13"/>
        <v>72.280153284739242</v>
      </c>
      <c r="S172" s="252">
        <f t="shared" si="13"/>
        <v>70.174906101688592</v>
      </c>
    </row>
    <row r="174" spans="3:19" x14ac:dyDescent="0.35">
      <c r="C174" s="253"/>
    </row>
    <row r="175" spans="3:19" ht="15" thickBot="1" x14ac:dyDescent="0.4">
      <c r="C175" s="253"/>
    </row>
    <row r="176" spans="3:19" x14ac:dyDescent="0.35">
      <c r="C176" s="248" t="s">
        <v>247</v>
      </c>
      <c r="D176" s="250">
        <f>SUM(E170:S170)</f>
        <v>118843.21464550904</v>
      </c>
    </row>
    <row r="177" spans="3:4" x14ac:dyDescent="0.35">
      <c r="C177" s="249" t="s">
        <v>258</v>
      </c>
      <c r="D177" s="251">
        <f>SUM(E171:S171)</f>
        <v>0</v>
      </c>
    </row>
    <row r="178" spans="3:4" ht="15" thickBot="1" x14ac:dyDescent="0.4">
      <c r="C178" s="247" t="s">
        <v>248</v>
      </c>
      <c r="D178" s="196">
        <f>SUM(E172:S172)</f>
        <v>1305.1770355920137</v>
      </c>
    </row>
    <row r="180" spans="3:4" ht="15" thickBot="1" x14ac:dyDescent="0.4"/>
    <row r="181" spans="3:4" ht="16" thickBot="1" x14ac:dyDescent="0.4">
      <c r="C181" s="321" t="s">
        <v>309</v>
      </c>
      <c r="D181" s="138">
        <f>D113-D112-D107-D88</f>
        <v>42359.5</v>
      </c>
    </row>
    <row r="182" spans="3:4" ht="15" thickBot="1" x14ac:dyDescent="0.4"/>
    <row r="183" spans="3:4" ht="16" thickBot="1" x14ac:dyDescent="0.4">
      <c r="C183" s="322" t="s">
        <v>311</v>
      </c>
      <c r="D183" s="138">
        <f>(D113-D88-D107-D112+G113)*3.5/(10^6)*25000</f>
        <v>3757.2062500000002</v>
      </c>
    </row>
    <row r="184" spans="3:4" ht="15" thickBot="1" x14ac:dyDescent="0.4"/>
    <row r="185" spans="3:4" ht="16" thickBot="1" x14ac:dyDescent="0.4">
      <c r="C185" s="322" t="s">
        <v>310</v>
      </c>
      <c r="D185" s="138">
        <f>(D88-E132+D107)*5.7/(10^6)*25000</f>
        <v>3545.8147174650007</v>
      </c>
    </row>
  </sheetData>
  <dataConsolidate/>
  <mergeCells count="32">
    <mergeCell ref="H27:H30"/>
    <mergeCell ref="E27:E30"/>
    <mergeCell ref="C43:C56"/>
    <mergeCell ref="F108:G108"/>
    <mergeCell ref="F44:F47"/>
    <mergeCell ref="F51:F53"/>
    <mergeCell ref="C126:D126"/>
    <mergeCell ref="F100:G100"/>
    <mergeCell ref="F93:G93"/>
    <mergeCell ref="C60:C61"/>
    <mergeCell ref="C65:C66"/>
    <mergeCell ref="D65:D66"/>
    <mergeCell ref="F83:G83"/>
    <mergeCell ref="F81:G81"/>
    <mergeCell ref="A5:A21"/>
    <mergeCell ref="C115:D115"/>
    <mergeCell ref="C7:C8"/>
    <mergeCell ref="C9:C12"/>
    <mergeCell ref="D44:D47"/>
    <mergeCell ref="D48:D50"/>
    <mergeCell ref="D51:D53"/>
    <mergeCell ref="D55:D56"/>
    <mergeCell ref="A25:B33"/>
    <mergeCell ref="A43:B66"/>
    <mergeCell ref="C27:C31"/>
    <mergeCell ref="C32:C33"/>
    <mergeCell ref="J43:J45"/>
    <mergeCell ref="K43:K46"/>
    <mergeCell ref="I43:I44"/>
    <mergeCell ref="I31:K33"/>
    <mergeCell ref="J27:J28"/>
    <mergeCell ref="K27:K29"/>
  </mergeCells>
  <dataValidations count="3">
    <dataValidation type="list" allowBlank="1" showInputMessage="1" showErrorMessage="1" sqref="G84 E25 E37 G111 E126 G43">
      <formula1>manut</formula1>
    </dataValidation>
    <dataValidation type="list" allowBlank="1" showInputMessage="1" showErrorMessage="1" sqref="R75">
      <formula1>Nome</formula1>
    </dataValidation>
    <dataValidation type="list" allowBlank="1" showInputMessage="1" showErrorMessage="1" sqref="I28:I30 J29:J30 K30 I45:I47 J46:J47 K47">
      <formula1>pacchetti</formula1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glio2"/>
  <dimension ref="B2:G36"/>
  <sheetViews>
    <sheetView zoomScaleNormal="100" workbookViewId="0">
      <selection activeCell="J37" sqref="J37"/>
    </sheetView>
  </sheetViews>
  <sheetFormatPr defaultColWidth="8.81640625" defaultRowHeight="14.5" x14ac:dyDescent="0.35"/>
  <cols>
    <col min="2" max="2" width="41.1796875" bestFit="1" customWidth="1"/>
    <col min="3" max="3" width="19.1796875" bestFit="1" customWidth="1"/>
    <col min="4" max="4" width="48.81640625" bestFit="1" customWidth="1"/>
    <col min="5" max="5" width="40.54296875" bestFit="1" customWidth="1"/>
    <col min="6" max="6" width="21.6328125" bestFit="1" customWidth="1"/>
    <col min="7" max="7" width="15.453125" customWidth="1"/>
    <col min="8" max="8" width="17.453125" customWidth="1"/>
    <col min="9" max="9" width="13.453125" bestFit="1" customWidth="1"/>
    <col min="10" max="10" width="11.6328125" bestFit="1" customWidth="1"/>
  </cols>
  <sheetData>
    <row r="2" spans="2:7" x14ac:dyDescent="0.35">
      <c r="B2" s="427" t="s">
        <v>143</v>
      </c>
      <c r="C2" s="428"/>
      <c r="E2" s="427" t="s">
        <v>146</v>
      </c>
      <c r="F2" s="428"/>
    </row>
    <row r="3" spans="2:7" x14ac:dyDescent="0.35">
      <c r="B3" s="96" t="s">
        <v>144</v>
      </c>
      <c r="C3" s="97" t="s">
        <v>116</v>
      </c>
      <c r="E3" s="96" t="s">
        <v>144</v>
      </c>
      <c r="F3" s="97" t="s">
        <v>116</v>
      </c>
    </row>
    <row r="4" spans="2:7" x14ac:dyDescent="0.35">
      <c r="B4" s="20" t="s">
        <v>263</v>
      </c>
      <c r="C4" s="376">
        <v>400</v>
      </c>
      <c r="E4" s="20" t="s">
        <v>145</v>
      </c>
      <c r="F4" s="200">
        <v>55</v>
      </c>
    </row>
    <row r="5" spans="2:7" x14ac:dyDescent="0.35">
      <c r="B5" s="1" t="s">
        <v>260</v>
      </c>
      <c r="C5" s="197">
        <v>1000</v>
      </c>
      <c r="D5" t="s">
        <v>127</v>
      </c>
      <c r="E5" s="3" t="s">
        <v>95</v>
      </c>
      <c r="F5" s="201">
        <v>250</v>
      </c>
      <c r="G5" s="110"/>
    </row>
    <row r="6" spans="2:7" x14ac:dyDescent="0.35">
      <c r="B6" s="72" t="s">
        <v>264</v>
      </c>
      <c r="C6" s="396">
        <v>700</v>
      </c>
    </row>
    <row r="8" spans="2:7" x14ac:dyDescent="0.35">
      <c r="B8" s="71"/>
    </row>
    <row r="9" spans="2:7" s="74" customFormat="1" x14ac:dyDescent="0.35">
      <c r="D9"/>
      <c r="E9" s="427" t="s">
        <v>96</v>
      </c>
      <c r="F9" s="428"/>
    </row>
    <row r="10" spans="2:7" x14ac:dyDescent="0.35">
      <c r="D10" s="74"/>
      <c r="E10" s="22" t="s">
        <v>97</v>
      </c>
      <c r="F10" s="23" t="s">
        <v>154</v>
      </c>
    </row>
    <row r="11" spans="2:7" x14ac:dyDescent="0.35">
      <c r="E11" s="80" t="s">
        <v>125</v>
      </c>
      <c r="F11" s="202">
        <v>100</v>
      </c>
    </row>
    <row r="13" spans="2:7" x14ac:dyDescent="0.35">
      <c r="B13" s="427" t="s">
        <v>109</v>
      </c>
      <c r="C13" s="428"/>
      <c r="E13" s="427" t="s">
        <v>118</v>
      </c>
      <c r="F13" s="428"/>
    </row>
    <row r="14" spans="2:7" x14ac:dyDescent="0.35">
      <c r="B14" s="121" t="s">
        <v>110</v>
      </c>
      <c r="C14" s="97" t="s">
        <v>117</v>
      </c>
      <c r="E14" s="22" t="s">
        <v>130</v>
      </c>
      <c r="F14" s="23" t="s">
        <v>126</v>
      </c>
    </row>
    <row r="15" spans="2:7" x14ac:dyDescent="0.35">
      <c r="B15" s="123" t="s">
        <v>152</v>
      </c>
      <c r="C15" s="198">
        <v>4</v>
      </c>
      <c r="E15" s="73" t="s">
        <v>125</v>
      </c>
      <c r="F15" s="203">
        <v>15</v>
      </c>
    </row>
    <row r="16" spans="2:7" x14ac:dyDescent="0.35">
      <c r="B16" s="75" t="s">
        <v>265</v>
      </c>
      <c r="C16" s="199">
        <v>500</v>
      </c>
    </row>
    <row r="17" spans="2:7" x14ac:dyDescent="0.35">
      <c r="B17" s="1" t="s">
        <v>266</v>
      </c>
      <c r="C17" s="199">
        <v>500</v>
      </c>
      <c r="E17" s="427" t="s">
        <v>16</v>
      </c>
      <c r="F17" s="428"/>
    </row>
    <row r="18" spans="2:7" x14ac:dyDescent="0.35">
      <c r="B18" s="75" t="s">
        <v>267</v>
      </c>
      <c r="C18" s="199">
        <v>500</v>
      </c>
      <c r="E18" s="96" t="s">
        <v>97</v>
      </c>
      <c r="F18" s="97" t="s">
        <v>116</v>
      </c>
    </row>
    <row r="19" spans="2:7" x14ac:dyDescent="0.35">
      <c r="B19" s="75" t="s">
        <v>268</v>
      </c>
      <c r="C19" s="199">
        <v>500</v>
      </c>
      <c r="E19" s="20" t="s">
        <v>297</v>
      </c>
      <c r="F19" s="207">
        <v>40</v>
      </c>
    </row>
    <row r="20" spans="2:7" x14ac:dyDescent="0.35">
      <c r="B20" s="259" t="s">
        <v>269</v>
      </c>
      <c r="C20" s="260">
        <v>450</v>
      </c>
      <c r="E20" s="91" t="s">
        <v>298</v>
      </c>
      <c r="F20" s="288">
        <v>40</v>
      </c>
    </row>
    <row r="21" spans="2:7" x14ac:dyDescent="0.35">
      <c r="E21" s="91" t="s">
        <v>299</v>
      </c>
      <c r="F21" s="288">
        <v>40</v>
      </c>
    </row>
    <row r="22" spans="2:7" x14ac:dyDescent="0.35">
      <c r="E22" s="21" t="s">
        <v>300</v>
      </c>
      <c r="F22" s="287">
        <v>40</v>
      </c>
    </row>
    <row r="26" spans="2:7" x14ac:dyDescent="0.35">
      <c r="E26" s="427" t="s">
        <v>16</v>
      </c>
      <c r="F26" s="474"/>
      <c r="G26" s="428"/>
    </row>
    <row r="27" spans="2:7" x14ac:dyDescent="0.35">
      <c r="E27" s="96" t="s">
        <v>97</v>
      </c>
      <c r="F27" s="165" t="s">
        <v>626</v>
      </c>
      <c r="G27" s="97" t="s">
        <v>317</v>
      </c>
    </row>
    <row r="28" spans="2:7" x14ac:dyDescent="0.35">
      <c r="E28" s="377" t="s">
        <v>631</v>
      </c>
      <c r="F28" s="378">
        <f>'Dati in input'!D178</f>
        <v>230</v>
      </c>
      <c r="G28" s="379" t="s">
        <v>397</v>
      </c>
    </row>
    <row r="29" spans="2:7" x14ac:dyDescent="0.35">
      <c r="E29" s="380" t="s">
        <v>632</v>
      </c>
      <c r="F29" s="381">
        <f>'Dati in input'!D298</f>
        <v>350</v>
      </c>
      <c r="G29" s="382" t="s">
        <v>397</v>
      </c>
    </row>
    <row r="30" spans="2:7" x14ac:dyDescent="0.35">
      <c r="E30" s="380" t="s">
        <v>627</v>
      </c>
      <c r="F30" s="381">
        <f>'Dati in input'!D187*5</f>
        <v>300</v>
      </c>
      <c r="G30" s="382" t="s">
        <v>443</v>
      </c>
    </row>
    <row r="31" spans="2:7" x14ac:dyDescent="0.35">
      <c r="E31" s="380" t="s">
        <v>628</v>
      </c>
      <c r="F31" s="383">
        <f>'Dati in input'!D188</f>
        <v>0</v>
      </c>
      <c r="G31" s="382" t="s">
        <v>446</v>
      </c>
    </row>
    <row r="32" spans="2:7" x14ac:dyDescent="0.35">
      <c r="E32" s="380" t="s">
        <v>629</v>
      </c>
      <c r="F32" s="383">
        <f>'Dati in input'!D189*5</f>
        <v>1000</v>
      </c>
      <c r="G32" s="382" t="s">
        <v>443</v>
      </c>
    </row>
    <row r="33" spans="5:7" x14ac:dyDescent="0.35">
      <c r="E33" s="380" t="s">
        <v>630</v>
      </c>
      <c r="F33" s="383">
        <f>'Dati in input'!D190</f>
        <v>7</v>
      </c>
      <c r="G33" s="382" t="s">
        <v>397</v>
      </c>
    </row>
    <row r="34" spans="5:7" x14ac:dyDescent="0.35">
      <c r="E34" s="380" t="s">
        <v>482</v>
      </c>
      <c r="F34" s="383">
        <f>'Dati in input'!D387+139*'Dati in input'!D381</f>
        <v>2917</v>
      </c>
      <c r="G34" s="382" t="s">
        <v>443</v>
      </c>
    </row>
    <row r="35" spans="5:7" x14ac:dyDescent="0.35">
      <c r="E35" s="380" t="s">
        <v>504</v>
      </c>
      <c r="F35" s="383">
        <f>139*'Dati in input'!D390</f>
        <v>69.5</v>
      </c>
      <c r="G35" s="382" t="s">
        <v>443</v>
      </c>
    </row>
    <row r="36" spans="5:7" x14ac:dyDescent="0.35">
      <c r="E36" s="384" t="s">
        <v>640</v>
      </c>
      <c r="F36" s="485">
        <f>'Dati in input'!D180+'Dati in input'!D200+'Dati in input'!D240+'Dati in input'!D260+'Dati in input'!D300</f>
        <v>7900</v>
      </c>
      <c r="G36" s="385" t="s">
        <v>443</v>
      </c>
    </row>
  </sheetData>
  <mergeCells count="7">
    <mergeCell ref="E2:F2"/>
    <mergeCell ref="B2:C2"/>
    <mergeCell ref="E26:G26"/>
    <mergeCell ref="E9:F9"/>
    <mergeCell ref="B13:C13"/>
    <mergeCell ref="E17:F17"/>
    <mergeCell ref="E13:F13"/>
  </mergeCells>
  <pageMargins left="0.7" right="0.7" top="0.75" bottom="0.75" header="0.3" footer="0.3"/>
  <pageSetup paperSize="9" orientation="portrait" horizontalDpi="1200" verticalDpi="120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39"/>
  <sheetViews>
    <sheetView zoomScale="80" zoomScaleNormal="80" zoomScalePageLayoutView="80" workbookViewId="0">
      <selection activeCell="D11" sqref="D11"/>
    </sheetView>
  </sheetViews>
  <sheetFormatPr defaultColWidth="8.81640625" defaultRowHeight="14.5" x14ac:dyDescent="0.35"/>
  <cols>
    <col min="2" max="2" width="52.1796875" customWidth="1"/>
    <col min="3" max="3" width="16.6328125" bestFit="1" customWidth="1"/>
    <col min="4" max="4" width="41.453125" bestFit="1" customWidth="1"/>
    <col min="5" max="5" width="13.81640625" style="74" customWidth="1"/>
    <col min="6" max="6" width="13.1796875" customWidth="1"/>
    <col min="7" max="7" width="35.36328125" bestFit="1" customWidth="1"/>
    <col min="8" max="8" width="16.6328125" bestFit="1" customWidth="1"/>
    <col min="9" max="9" width="21.81640625" bestFit="1" customWidth="1"/>
  </cols>
  <sheetData>
    <row r="1" spans="1:15" x14ac:dyDescent="0.35">
      <c r="B1" t="s">
        <v>180</v>
      </c>
      <c r="G1" t="s">
        <v>174</v>
      </c>
    </row>
    <row r="2" spans="1:15" x14ac:dyDescent="0.35">
      <c r="B2" s="427" t="s">
        <v>199</v>
      </c>
      <c r="C2" s="474"/>
      <c r="D2" s="428"/>
      <c r="G2" s="427" t="s">
        <v>172</v>
      </c>
      <c r="H2" s="474"/>
      <c r="I2" s="428"/>
    </row>
    <row r="3" spans="1:15" x14ac:dyDescent="0.35">
      <c r="B3" s="22" t="s">
        <v>144</v>
      </c>
      <c r="C3" s="152" t="s">
        <v>116</v>
      </c>
      <c r="D3" s="23" t="s">
        <v>201</v>
      </c>
      <c r="G3" s="96" t="s">
        <v>144</v>
      </c>
      <c r="H3" s="165" t="s">
        <v>116</v>
      </c>
      <c r="I3" s="97" t="s">
        <v>159</v>
      </c>
    </row>
    <row r="4" spans="1:15" x14ac:dyDescent="0.35">
      <c r="B4" s="3" t="s">
        <v>200</v>
      </c>
      <c r="C4" s="204">
        <v>1000</v>
      </c>
      <c r="D4" s="205">
        <v>12</v>
      </c>
      <c r="G4" s="20" t="s">
        <v>169</v>
      </c>
      <c r="H4" s="211">
        <v>4000</v>
      </c>
      <c r="I4" s="263">
        <v>10000</v>
      </c>
    </row>
    <row r="5" spans="1:15" x14ac:dyDescent="0.35">
      <c r="A5" s="12"/>
      <c r="B5" s="12"/>
      <c r="C5" s="167"/>
      <c r="D5" s="125"/>
      <c r="G5" s="3" t="s">
        <v>170</v>
      </c>
      <c r="H5" s="210">
        <v>7000</v>
      </c>
      <c r="I5" s="205">
        <v>10000</v>
      </c>
    </row>
    <row r="6" spans="1:15" x14ac:dyDescent="0.35">
      <c r="B6" t="s">
        <v>180</v>
      </c>
      <c r="I6" s="84"/>
    </row>
    <row r="7" spans="1:15" x14ac:dyDescent="0.35">
      <c r="B7" s="427" t="s">
        <v>143</v>
      </c>
      <c r="C7" s="474"/>
      <c r="D7" s="428"/>
      <c r="E7" s="17"/>
    </row>
    <row r="8" spans="1:15" x14ac:dyDescent="0.35">
      <c r="B8" s="22" t="s">
        <v>144</v>
      </c>
      <c r="C8" s="152" t="s">
        <v>116</v>
      </c>
      <c r="D8" s="23" t="s">
        <v>159</v>
      </c>
      <c r="E8" s="124"/>
      <c r="G8" t="s">
        <v>161</v>
      </c>
    </row>
    <row r="9" spans="1:15" x14ac:dyDescent="0.35">
      <c r="B9" s="20" t="s">
        <v>259</v>
      </c>
      <c r="C9" s="206">
        <v>350</v>
      </c>
      <c r="D9" s="207">
        <v>40</v>
      </c>
      <c r="E9" s="125"/>
      <c r="G9" s="427" t="s">
        <v>160</v>
      </c>
      <c r="H9" s="474"/>
      <c r="I9" s="428"/>
    </row>
    <row r="10" spans="1:15" x14ac:dyDescent="0.35">
      <c r="B10" s="1" t="s">
        <v>260</v>
      </c>
      <c r="C10" s="397">
        <v>0</v>
      </c>
      <c r="D10" s="398">
        <f>80*139</f>
        <v>11120</v>
      </c>
      <c r="E10" s="125"/>
      <c r="G10" s="96" t="s">
        <v>144</v>
      </c>
      <c r="H10" s="165" t="s">
        <v>116</v>
      </c>
      <c r="I10" s="97" t="s">
        <v>159</v>
      </c>
    </row>
    <row r="11" spans="1:15" x14ac:dyDescent="0.35">
      <c r="B11" s="314"/>
      <c r="C11" s="315"/>
      <c r="D11" s="316"/>
      <c r="E11" s="125"/>
      <c r="G11" s="130" t="s">
        <v>260</v>
      </c>
      <c r="H11" s="211">
        <v>1000</v>
      </c>
      <c r="I11" s="207">
        <v>40</v>
      </c>
    </row>
    <row r="12" spans="1:15" x14ac:dyDescent="0.35">
      <c r="D12" s="12"/>
      <c r="E12" s="18"/>
      <c r="G12" s="3" t="s">
        <v>262</v>
      </c>
      <c r="H12" s="204">
        <v>1500</v>
      </c>
      <c r="I12" s="205">
        <v>6000</v>
      </c>
    </row>
    <row r="14" spans="1:15" x14ac:dyDescent="0.35">
      <c r="B14" t="s">
        <v>175</v>
      </c>
      <c r="G14" t="s">
        <v>166</v>
      </c>
    </row>
    <row r="15" spans="1:15" x14ac:dyDescent="0.35">
      <c r="B15" s="427" t="s">
        <v>173</v>
      </c>
      <c r="C15" s="474"/>
      <c r="D15" s="428"/>
      <c r="E15" s="17"/>
      <c r="G15" s="427" t="s">
        <v>164</v>
      </c>
      <c r="H15" s="474"/>
      <c r="I15" s="428"/>
      <c r="M15" s="12"/>
      <c r="N15" s="12"/>
      <c r="O15" s="12"/>
    </row>
    <row r="16" spans="1:15" x14ac:dyDescent="0.35">
      <c r="B16" s="22" t="s">
        <v>144</v>
      </c>
      <c r="C16" s="152" t="s">
        <v>116</v>
      </c>
      <c r="D16" s="23" t="s">
        <v>159</v>
      </c>
      <c r="E16" s="124"/>
      <c r="G16" s="22" t="s">
        <v>144</v>
      </c>
      <c r="H16" s="152" t="s">
        <v>116</v>
      </c>
      <c r="I16" s="23" t="s">
        <v>159</v>
      </c>
      <c r="M16" s="12"/>
      <c r="N16" s="14"/>
      <c r="O16" s="12"/>
    </row>
    <row r="17" spans="2:15" x14ac:dyDescent="0.35">
      <c r="B17" s="20" t="s">
        <v>171</v>
      </c>
      <c r="C17" s="206">
        <v>80</v>
      </c>
      <c r="D17" s="207">
        <f>250-80</f>
        <v>170</v>
      </c>
      <c r="E17" s="125"/>
      <c r="G17" s="73" t="s">
        <v>163</v>
      </c>
      <c r="H17" s="212">
        <v>700</v>
      </c>
      <c r="I17" s="203">
        <v>4000</v>
      </c>
      <c r="M17" s="12"/>
      <c r="N17" s="14"/>
      <c r="O17" s="12"/>
    </row>
    <row r="18" spans="2:15" x14ac:dyDescent="0.35">
      <c r="B18" s="1" t="s">
        <v>260</v>
      </c>
      <c r="C18" s="167">
        <v>1000</v>
      </c>
      <c r="D18" s="208">
        <v>40</v>
      </c>
      <c r="E18" s="125"/>
      <c r="M18" s="12"/>
      <c r="N18" s="14"/>
      <c r="O18" s="12"/>
    </row>
    <row r="19" spans="2:15" x14ac:dyDescent="0.35">
      <c r="B19" s="91" t="s">
        <v>168</v>
      </c>
      <c r="C19" s="209">
        <v>6000</v>
      </c>
      <c r="D19" s="262">
        <v>3000</v>
      </c>
      <c r="E19" s="125"/>
      <c r="M19" s="12"/>
      <c r="N19" s="124"/>
      <c r="O19" s="12"/>
    </row>
    <row r="20" spans="2:15" x14ac:dyDescent="0.35">
      <c r="B20" s="314"/>
      <c r="C20" s="315"/>
      <c r="D20" s="320"/>
      <c r="E20" s="18"/>
      <c r="M20" s="12"/>
      <c r="N20" s="124"/>
      <c r="O20" s="12"/>
    </row>
    <row r="21" spans="2:15" x14ac:dyDescent="0.35">
      <c r="B21" s="12"/>
      <c r="C21" s="12"/>
      <c r="D21" s="12"/>
      <c r="E21" s="18"/>
      <c r="M21" s="12"/>
      <c r="N21" s="124"/>
      <c r="O21" s="12"/>
    </row>
    <row r="22" spans="2:15" x14ac:dyDescent="0.35">
      <c r="B22" t="s">
        <v>167</v>
      </c>
      <c r="M22" s="12"/>
      <c r="N22" s="124"/>
      <c r="O22" s="12"/>
    </row>
    <row r="23" spans="2:15" x14ac:dyDescent="0.35">
      <c r="B23" s="427" t="s">
        <v>165</v>
      </c>
      <c r="C23" s="474"/>
      <c r="D23" s="428"/>
      <c r="E23" s="17"/>
      <c r="M23" s="12"/>
      <c r="N23" s="124"/>
      <c r="O23" s="12"/>
    </row>
    <row r="24" spans="2:15" x14ac:dyDescent="0.35">
      <c r="B24" s="22" t="s">
        <v>144</v>
      </c>
      <c r="C24" s="152" t="s">
        <v>116</v>
      </c>
      <c r="D24" s="23" t="s">
        <v>159</v>
      </c>
      <c r="E24" s="124"/>
      <c r="M24" s="12"/>
      <c r="N24" s="124"/>
      <c r="O24" s="12"/>
    </row>
    <row r="25" spans="2:15" x14ac:dyDescent="0.35">
      <c r="B25" s="20" t="s">
        <v>261</v>
      </c>
      <c r="C25" s="206">
        <v>250</v>
      </c>
      <c r="D25" s="207">
        <v>40</v>
      </c>
      <c r="E25" s="125"/>
      <c r="M25" s="12"/>
      <c r="N25" s="124"/>
      <c r="O25" s="12"/>
    </row>
    <row r="26" spans="2:15" x14ac:dyDescent="0.35">
      <c r="B26" s="1" t="s">
        <v>162</v>
      </c>
      <c r="C26" s="167">
        <v>1500</v>
      </c>
      <c r="D26" s="208">
        <v>40</v>
      </c>
      <c r="E26" s="125"/>
      <c r="G26" s="14"/>
      <c r="H26" s="151"/>
      <c r="I26" s="111"/>
      <c r="M26" s="12"/>
      <c r="N26" s="124"/>
      <c r="O26" s="12"/>
    </row>
    <row r="27" spans="2:15" x14ac:dyDescent="0.35">
      <c r="B27" s="21" t="s">
        <v>254</v>
      </c>
      <c r="C27" s="265"/>
      <c r="D27" s="205">
        <v>40</v>
      </c>
      <c r="E27" s="125"/>
      <c r="G27" s="14"/>
      <c r="H27" s="12"/>
      <c r="M27" s="12"/>
      <c r="N27" s="14"/>
      <c r="O27" s="12"/>
    </row>
    <row r="28" spans="2:15" x14ac:dyDescent="0.35">
      <c r="G28" s="14"/>
      <c r="H28" s="12"/>
      <c r="M28" s="12"/>
      <c r="N28" s="124"/>
      <c r="O28" s="12"/>
    </row>
    <row r="29" spans="2:15" x14ac:dyDescent="0.35">
      <c r="G29" s="124"/>
      <c r="H29" s="12"/>
      <c r="M29" s="12"/>
      <c r="N29" s="12"/>
      <c r="O29" s="12"/>
    </row>
    <row r="30" spans="2:15" x14ac:dyDescent="0.35">
      <c r="B30" t="s">
        <v>179</v>
      </c>
      <c r="G30" s="124"/>
      <c r="H30" s="12"/>
    </row>
    <row r="31" spans="2:15" x14ac:dyDescent="0.35">
      <c r="B31" s="427" t="s">
        <v>178</v>
      </c>
      <c r="C31" s="474"/>
      <c r="D31" s="428"/>
      <c r="E31" s="17"/>
      <c r="G31" s="124"/>
      <c r="H31" s="12"/>
    </row>
    <row r="32" spans="2:15" x14ac:dyDescent="0.35">
      <c r="B32" s="22" t="s">
        <v>144</v>
      </c>
      <c r="C32" s="152" t="s">
        <v>116</v>
      </c>
      <c r="D32" s="23" t="s">
        <v>159</v>
      </c>
      <c r="E32" s="124"/>
      <c r="G32" s="124"/>
      <c r="H32" s="12"/>
    </row>
    <row r="33" spans="2:8" x14ac:dyDescent="0.35">
      <c r="B33" s="20" t="s">
        <v>177</v>
      </c>
      <c r="C33" s="388">
        <v>5000</v>
      </c>
      <c r="D33" s="263">
        <v>3000</v>
      </c>
      <c r="E33" s="125"/>
      <c r="G33" s="124"/>
      <c r="H33" s="12"/>
    </row>
    <row r="34" spans="2:8" x14ac:dyDescent="0.35">
      <c r="B34" s="3" t="s">
        <v>176</v>
      </c>
      <c r="C34" s="210">
        <v>16000</v>
      </c>
      <c r="D34" s="264">
        <v>6000</v>
      </c>
      <c r="E34" s="125"/>
      <c r="G34" s="124"/>
      <c r="H34" s="12"/>
    </row>
    <row r="35" spans="2:8" x14ac:dyDescent="0.35">
      <c r="B35" s="12"/>
      <c r="C35" s="12"/>
      <c r="D35" s="12"/>
      <c r="E35" s="18"/>
      <c r="G35" s="124"/>
      <c r="H35" s="12"/>
    </row>
    <row r="36" spans="2:8" x14ac:dyDescent="0.35">
      <c r="B36" s="12"/>
      <c r="C36" s="12"/>
      <c r="D36" s="12"/>
      <c r="E36" s="18"/>
      <c r="G36" s="124"/>
      <c r="H36" s="12"/>
    </row>
    <row r="37" spans="2:8" x14ac:dyDescent="0.35">
      <c r="G37" s="124"/>
      <c r="H37" s="12"/>
    </row>
    <row r="38" spans="2:8" x14ac:dyDescent="0.35">
      <c r="G38" s="14"/>
      <c r="H38" s="12"/>
    </row>
    <row r="39" spans="2:8" x14ac:dyDescent="0.35">
      <c r="G39" s="124"/>
      <c r="H39" s="12"/>
    </row>
  </sheetData>
  <mergeCells count="8">
    <mergeCell ref="B2:D2"/>
    <mergeCell ref="G2:I2"/>
    <mergeCell ref="G9:I9"/>
    <mergeCell ref="B23:D23"/>
    <mergeCell ref="B31:D31"/>
    <mergeCell ref="G15:I15"/>
    <mergeCell ref="B7:D7"/>
    <mergeCell ref="B15:D15"/>
  </mergeCells>
  <pageMargins left="0.7" right="0.7" top="0.75" bottom="0.75" header="0.3" footer="0.3"/>
  <pageSetup paperSize="9" orientation="portrait" horizontalDpi="1200" verticalDpi="120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44"/>
  <sheetViews>
    <sheetView topLeftCell="A13" zoomScale="56" zoomScaleNormal="70" zoomScaleSheetLayoutView="55" zoomScalePageLayoutView="70" workbookViewId="0">
      <selection activeCell="G49" sqref="G49"/>
    </sheetView>
  </sheetViews>
  <sheetFormatPr defaultColWidth="8.81640625" defaultRowHeight="21" x14ac:dyDescent="0.5"/>
  <cols>
    <col min="1" max="1" width="30.1796875" style="27" customWidth="1"/>
    <col min="2" max="2" width="35.453125" style="27" customWidth="1"/>
    <col min="3" max="3" width="19.1796875" style="27" customWidth="1"/>
    <col min="4" max="4" width="22.36328125" style="27" customWidth="1"/>
    <col min="5" max="5" width="16.1796875" style="27" bestFit="1" customWidth="1"/>
    <col min="6" max="6" width="30.1796875" style="27" customWidth="1"/>
    <col min="7" max="10" width="21.36328125" style="27" customWidth="1"/>
    <col min="11" max="11" width="13.6328125" style="27" customWidth="1"/>
    <col min="12" max="12" width="18" style="27" bestFit="1" customWidth="1"/>
    <col min="13" max="13" width="16.6328125" style="27" customWidth="1"/>
    <col min="14" max="14" width="12.36328125" style="27" customWidth="1"/>
    <col min="15" max="15" width="12.1796875" style="27" customWidth="1"/>
    <col min="16" max="17" width="16.81640625" style="27" customWidth="1"/>
    <col min="18" max="18" width="10.6328125" style="27" customWidth="1"/>
    <col min="19" max="254" width="8.81640625" style="27"/>
    <col min="255" max="255" width="29.453125" style="27" customWidth="1"/>
    <col min="256" max="256" width="22.81640625" style="27" customWidth="1"/>
    <col min="257" max="257" width="14.36328125" style="27" customWidth="1"/>
    <col min="258" max="258" width="21" style="27" customWidth="1"/>
    <col min="259" max="259" width="8.36328125" style="27" bestFit="1" customWidth="1"/>
    <col min="260" max="260" width="9.36328125" style="27" bestFit="1" customWidth="1"/>
    <col min="261" max="261" width="20" style="27" bestFit="1" customWidth="1"/>
    <col min="262" max="262" width="13.6328125" style="27" bestFit="1" customWidth="1"/>
    <col min="263" max="263" width="16.1796875" style="27" bestFit="1" customWidth="1"/>
    <col min="264" max="264" width="12.1796875" style="27" bestFit="1" customWidth="1"/>
    <col min="265" max="265" width="10.6328125" style="27" bestFit="1" customWidth="1"/>
    <col min="266" max="266" width="12.81640625" style="27" bestFit="1" customWidth="1"/>
    <col min="267" max="267" width="10.6328125" style="27" bestFit="1" customWidth="1"/>
    <col min="268" max="268" width="12.81640625" style="27" bestFit="1" customWidth="1"/>
    <col min="269" max="269" width="8.81640625" style="27" bestFit="1" customWidth="1"/>
    <col min="270" max="510" width="8.81640625" style="27"/>
    <col min="511" max="511" width="29.453125" style="27" customWidth="1"/>
    <col min="512" max="512" width="22.81640625" style="27" customWidth="1"/>
    <col min="513" max="513" width="14.36328125" style="27" customWidth="1"/>
    <col min="514" max="514" width="21" style="27" customWidth="1"/>
    <col min="515" max="515" width="8.36328125" style="27" bestFit="1" customWidth="1"/>
    <col min="516" max="516" width="9.36328125" style="27" bestFit="1" customWidth="1"/>
    <col min="517" max="517" width="20" style="27" bestFit="1" customWidth="1"/>
    <col min="518" max="518" width="13.6328125" style="27" bestFit="1" customWidth="1"/>
    <col min="519" max="519" width="16.1796875" style="27" bestFit="1" customWidth="1"/>
    <col min="520" max="520" width="12.1796875" style="27" bestFit="1" customWidth="1"/>
    <col min="521" max="521" width="10.6328125" style="27" bestFit="1" customWidth="1"/>
    <col min="522" max="522" width="12.81640625" style="27" bestFit="1" customWidth="1"/>
    <col min="523" max="523" width="10.6328125" style="27" bestFit="1" customWidth="1"/>
    <col min="524" max="524" width="12.81640625" style="27" bestFit="1" customWidth="1"/>
    <col min="525" max="525" width="8.81640625" style="27" bestFit="1" customWidth="1"/>
    <col min="526" max="766" width="8.81640625" style="27"/>
    <col min="767" max="767" width="29.453125" style="27" customWidth="1"/>
    <col min="768" max="768" width="22.81640625" style="27" customWidth="1"/>
    <col min="769" max="769" width="14.36328125" style="27" customWidth="1"/>
    <col min="770" max="770" width="21" style="27" customWidth="1"/>
    <col min="771" max="771" width="8.36328125" style="27" bestFit="1" customWidth="1"/>
    <col min="772" max="772" width="9.36328125" style="27" bestFit="1" customWidth="1"/>
    <col min="773" max="773" width="20" style="27" bestFit="1" customWidth="1"/>
    <col min="774" max="774" width="13.6328125" style="27" bestFit="1" customWidth="1"/>
    <col min="775" max="775" width="16.1796875" style="27" bestFit="1" customWidth="1"/>
    <col min="776" max="776" width="12.1796875" style="27" bestFit="1" customWidth="1"/>
    <col min="777" max="777" width="10.6328125" style="27" bestFit="1" customWidth="1"/>
    <col min="778" max="778" width="12.81640625" style="27" bestFit="1" customWidth="1"/>
    <col min="779" max="779" width="10.6328125" style="27" bestFit="1" customWidth="1"/>
    <col min="780" max="780" width="12.81640625" style="27" bestFit="1" customWidth="1"/>
    <col min="781" max="781" width="8.81640625" style="27" bestFit="1" customWidth="1"/>
    <col min="782" max="1022" width="8.81640625" style="27"/>
    <col min="1023" max="1023" width="29.453125" style="27" customWidth="1"/>
    <col min="1024" max="1024" width="22.81640625" style="27" customWidth="1"/>
    <col min="1025" max="1025" width="14.36328125" style="27" customWidth="1"/>
    <col min="1026" max="1026" width="21" style="27" customWidth="1"/>
    <col min="1027" max="1027" width="8.36328125" style="27" bestFit="1" customWidth="1"/>
    <col min="1028" max="1028" width="9.36328125" style="27" bestFit="1" customWidth="1"/>
    <col min="1029" max="1029" width="20" style="27" bestFit="1" customWidth="1"/>
    <col min="1030" max="1030" width="13.6328125" style="27" bestFit="1" customWidth="1"/>
    <col min="1031" max="1031" width="16.1796875" style="27" bestFit="1" customWidth="1"/>
    <col min="1032" max="1032" width="12.1796875" style="27" bestFit="1" customWidth="1"/>
    <col min="1033" max="1033" width="10.6328125" style="27" bestFit="1" customWidth="1"/>
    <col min="1034" max="1034" width="12.81640625" style="27" bestFit="1" customWidth="1"/>
    <col min="1035" max="1035" width="10.6328125" style="27" bestFit="1" customWidth="1"/>
    <col min="1036" max="1036" width="12.81640625" style="27" bestFit="1" customWidth="1"/>
    <col min="1037" max="1037" width="8.81640625" style="27" bestFit="1" customWidth="1"/>
    <col min="1038" max="1278" width="8.81640625" style="27"/>
    <col min="1279" max="1279" width="29.453125" style="27" customWidth="1"/>
    <col min="1280" max="1280" width="22.81640625" style="27" customWidth="1"/>
    <col min="1281" max="1281" width="14.36328125" style="27" customWidth="1"/>
    <col min="1282" max="1282" width="21" style="27" customWidth="1"/>
    <col min="1283" max="1283" width="8.36328125" style="27" bestFit="1" customWidth="1"/>
    <col min="1284" max="1284" width="9.36328125" style="27" bestFit="1" customWidth="1"/>
    <col min="1285" max="1285" width="20" style="27" bestFit="1" customWidth="1"/>
    <col min="1286" max="1286" width="13.6328125" style="27" bestFit="1" customWidth="1"/>
    <col min="1287" max="1287" width="16.1796875" style="27" bestFit="1" customWidth="1"/>
    <col min="1288" max="1288" width="12.1796875" style="27" bestFit="1" customWidth="1"/>
    <col min="1289" max="1289" width="10.6328125" style="27" bestFit="1" customWidth="1"/>
    <col min="1290" max="1290" width="12.81640625" style="27" bestFit="1" customWidth="1"/>
    <col min="1291" max="1291" width="10.6328125" style="27" bestFit="1" customWidth="1"/>
    <col min="1292" max="1292" width="12.81640625" style="27" bestFit="1" customWidth="1"/>
    <col min="1293" max="1293" width="8.81640625" style="27" bestFit="1" customWidth="1"/>
    <col min="1294" max="1534" width="8.81640625" style="27"/>
    <col min="1535" max="1535" width="29.453125" style="27" customWidth="1"/>
    <col min="1536" max="1536" width="22.81640625" style="27" customWidth="1"/>
    <col min="1537" max="1537" width="14.36328125" style="27" customWidth="1"/>
    <col min="1538" max="1538" width="21" style="27" customWidth="1"/>
    <col min="1539" max="1539" width="8.36328125" style="27" bestFit="1" customWidth="1"/>
    <col min="1540" max="1540" width="9.36328125" style="27" bestFit="1" customWidth="1"/>
    <col min="1541" max="1541" width="20" style="27" bestFit="1" customWidth="1"/>
    <col min="1542" max="1542" width="13.6328125" style="27" bestFit="1" customWidth="1"/>
    <col min="1543" max="1543" width="16.1796875" style="27" bestFit="1" customWidth="1"/>
    <col min="1544" max="1544" width="12.1796875" style="27" bestFit="1" customWidth="1"/>
    <col min="1545" max="1545" width="10.6328125" style="27" bestFit="1" customWidth="1"/>
    <col min="1546" max="1546" width="12.81640625" style="27" bestFit="1" customWidth="1"/>
    <col min="1547" max="1547" width="10.6328125" style="27" bestFit="1" customWidth="1"/>
    <col min="1548" max="1548" width="12.81640625" style="27" bestFit="1" customWidth="1"/>
    <col min="1549" max="1549" width="8.81640625" style="27" bestFit="1" customWidth="1"/>
    <col min="1550" max="1790" width="8.81640625" style="27"/>
    <col min="1791" max="1791" width="29.453125" style="27" customWidth="1"/>
    <col min="1792" max="1792" width="22.81640625" style="27" customWidth="1"/>
    <col min="1793" max="1793" width="14.36328125" style="27" customWidth="1"/>
    <col min="1794" max="1794" width="21" style="27" customWidth="1"/>
    <col min="1795" max="1795" width="8.36328125" style="27" bestFit="1" customWidth="1"/>
    <col min="1796" max="1796" width="9.36328125" style="27" bestFit="1" customWidth="1"/>
    <col min="1797" max="1797" width="20" style="27" bestFit="1" customWidth="1"/>
    <col min="1798" max="1798" width="13.6328125" style="27" bestFit="1" customWidth="1"/>
    <col min="1799" max="1799" width="16.1796875" style="27" bestFit="1" customWidth="1"/>
    <col min="1800" max="1800" width="12.1796875" style="27" bestFit="1" customWidth="1"/>
    <col min="1801" max="1801" width="10.6328125" style="27" bestFit="1" customWidth="1"/>
    <col min="1802" max="1802" width="12.81640625" style="27" bestFit="1" customWidth="1"/>
    <col min="1803" max="1803" width="10.6328125" style="27" bestFit="1" customWidth="1"/>
    <col min="1804" max="1804" width="12.81640625" style="27" bestFit="1" customWidth="1"/>
    <col min="1805" max="1805" width="8.81640625" style="27" bestFit="1" customWidth="1"/>
    <col min="1806" max="2046" width="8.81640625" style="27"/>
    <col min="2047" max="2047" width="29.453125" style="27" customWidth="1"/>
    <col min="2048" max="2048" width="22.81640625" style="27" customWidth="1"/>
    <col min="2049" max="2049" width="14.36328125" style="27" customWidth="1"/>
    <col min="2050" max="2050" width="21" style="27" customWidth="1"/>
    <col min="2051" max="2051" width="8.36328125" style="27" bestFit="1" customWidth="1"/>
    <col min="2052" max="2052" width="9.36328125" style="27" bestFit="1" customWidth="1"/>
    <col min="2053" max="2053" width="20" style="27" bestFit="1" customWidth="1"/>
    <col min="2054" max="2054" width="13.6328125" style="27" bestFit="1" customWidth="1"/>
    <col min="2055" max="2055" width="16.1796875" style="27" bestFit="1" customWidth="1"/>
    <col min="2056" max="2056" width="12.1796875" style="27" bestFit="1" customWidth="1"/>
    <col min="2057" max="2057" width="10.6328125" style="27" bestFit="1" customWidth="1"/>
    <col min="2058" max="2058" width="12.81640625" style="27" bestFit="1" customWidth="1"/>
    <col min="2059" max="2059" width="10.6328125" style="27" bestFit="1" customWidth="1"/>
    <col min="2060" max="2060" width="12.81640625" style="27" bestFit="1" customWidth="1"/>
    <col min="2061" max="2061" width="8.81640625" style="27" bestFit="1" customWidth="1"/>
    <col min="2062" max="2302" width="8.81640625" style="27"/>
    <col min="2303" max="2303" width="29.453125" style="27" customWidth="1"/>
    <col min="2304" max="2304" width="22.81640625" style="27" customWidth="1"/>
    <col min="2305" max="2305" width="14.36328125" style="27" customWidth="1"/>
    <col min="2306" max="2306" width="21" style="27" customWidth="1"/>
    <col min="2307" max="2307" width="8.36328125" style="27" bestFit="1" customWidth="1"/>
    <col min="2308" max="2308" width="9.36328125" style="27" bestFit="1" customWidth="1"/>
    <col min="2309" max="2309" width="20" style="27" bestFit="1" customWidth="1"/>
    <col min="2310" max="2310" width="13.6328125" style="27" bestFit="1" customWidth="1"/>
    <col min="2311" max="2311" width="16.1796875" style="27" bestFit="1" customWidth="1"/>
    <col min="2312" max="2312" width="12.1796875" style="27" bestFit="1" customWidth="1"/>
    <col min="2313" max="2313" width="10.6328125" style="27" bestFit="1" customWidth="1"/>
    <col min="2314" max="2314" width="12.81640625" style="27" bestFit="1" customWidth="1"/>
    <col min="2315" max="2315" width="10.6328125" style="27" bestFit="1" customWidth="1"/>
    <col min="2316" max="2316" width="12.81640625" style="27" bestFit="1" customWidth="1"/>
    <col min="2317" max="2317" width="8.81640625" style="27" bestFit="1" customWidth="1"/>
    <col min="2318" max="2558" width="8.81640625" style="27"/>
    <col min="2559" max="2559" width="29.453125" style="27" customWidth="1"/>
    <col min="2560" max="2560" width="22.81640625" style="27" customWidth="1"/>
    <col min="2561" max="2561" width="14.36328125" style="27" customWidth="1"/>
    <col min="2562" max="2562" width="21" style="27" customWidth="1"/>
    <col min="2563" max="2563" width="8.36328125" style="27" bestFit="1" customWidth="1"/>
    <col min="2564" max="2564" width="9.36328125" style="27" bestFit="1" customWidth="1"/>
    <col min="2565" max="2565" width="20" style="27" bestFit="1" customWidth="1"/>
    <col min="2566" max="2566" width="13.6328125" style="27" bestFit="1" customWidth="1"/>
    <col min="2567" max="2567" width="16.1796875" style="27" bestFit="1" customWidth="1"/>
    <col min="2568" max="2568" width="12.1796875" style="27" bestFit="1" customWidth="1"/>
    <col min="2569" max="2569" width="10.6328125" style="27" bestFit="1" customWidth="1"/>
    <col min="2570" max="2570" width="12.81640625" style="27" bestFit="1" customWidth="1"/>
    <col min="2571" max="2571" width="10.6328125" style="27" bestFit="1" customWidth="1"/>
    <col min="2572" max="2572" width="12.81640625" style="27" bestFit="1" customWidth="1"/>
    <col min="2573" max="2573" width="8.81640625" style="27" bestFit="1" customWidth="1"/>
    <col min="2574" max="2814" width="8.81640625" style="27"/>
    <col min="2815" max="2815" width="29.453125" style="27" customWidth="1"/>
    <col min="2816" max="2816" width="22.81640625" style="27" customWidth="1"/>
    <col min="2817" max="2817" width="14.36328125" style="27" customWidth="1"/>
    <col min="2818" max="2818" width="21" style="27" customWidth="1"/>
    <col min="2819" max="2819" width="8.36328125" style="27" bestFit="1" customWidth="1"/>
    <col min="2820" max="2820" width="9.36328125" style="27" bestFit="1" customWidth="1"/>
    <col min="2821" max="2821" width="20" style="27" bestFit="1" customWidth="1"/>
    <col min="2822" max="2822" width="13.6328125" style="27" bestFit="1" customWidth="1"/>
    <col min="2823" max="2823" width="16.1796875" style="27" bestFit="1" customWidth="1"/>
    <col min="2824" max="2824" width="12.1796875" style="27" bestFit="1" customWidth="1"/>
    <col min="2825" max="2825" width="10.6328125" style="27" bestFit="1" customWidth="1"/>
    <col min="2826" max="2826" width="12.81640625" style="27" bestFit="1" customWidth="1"/>
    <col min="2827" max="2827" width="10.6328125" style="27" bestFit="1" customWidth="1"/>
    <col min="2828" max="2828" width="12.81640625" style="27" bestFit="1" customWidth="1"/>
    <col min="2829" max="2829" width="8.81640625" style="27" bestFit="1" customWidth="1"/>
    <col min="2830" max="3070" width="8.81640625" style="27"/>
    <col min="3071" max="3071" width="29.453125" style="27" customWidth="1"/>
    <col min="3072" max="3072" width="22.81640625" style="27" customWidth="1"/>
    <col min="3073" max="3073" width="14.36328125" style="27" customWidth="1"/>
    <col min="3074" max="3074" width="21" style="27" customWidth="1"/>
    <col min="3075" max="3075" width="8.36328125" style="27" bestFit="1" customWidth="1"/>
    <col min="3076" max="3076" width="9.36328125" style="27" bestFit="1" customWidth="1"/>
    <col min="3077" max="3077" width="20" style="27" bestFit="1" customWidth="1"/>
    <col min="3078" max="3078" width="13.6328125" style="27" bestFit="1" customWidth="1"/>
    <col min="3079" max="3079" width="16.1796875" style="27" bestFit="1" customWidth="1"/>
    <col min="3080" max="3080" width="12.1796875" style="27" bestFit="1" customWidth="1"/>
    <col min="3081" max="3081" width="10.6328125" style="27" bestFit="1" customWidth="1"/>
    <col min="3082" max="3082" width="12.81640625" style="27" bestFit="1" customWidth="1"/>
    <col min="3083" max="3083" width="10.6328125" style="27" bestFit="1" customWidth="1"/>
    <col min="3084" max="3084" width="12.81640625" style="27" bestFit="1" customWidth="1"/>
    <col min="3085" max="3085" width="8.81640625" style="27" bestFit="1" customWidth="1"/>
    <col min="3086" max="3326" width="8.81640625" style="27"/>
    <col min="3327" max="3327" width="29.453125" style="27" customWidth="1"/>
    <col min="3328" max="3328" width="22.81640625" style="27" customWidth="1"/>
    <col min="3329" max="3329" width="14.36328125" style="27" customWidth="1"/>
    <col min="3330" max="3330" width="21" style="27" customWidth="1"/>
    <col min="3331" max="3331" width="8.36328125" style="27" bestFit="1" customWidth="1"/>
    <col min="3332" max="3332" width="9.36328125" style="27" bestFit="1" customWidth="1"/>
    <col min="3333" max="3333" width="20" style="27" bestFit="1" customWidth="1"/>
    <col min="3334" max="3334" width="13.6328125" style="27" bestFit="1" customWidth="1"/>
    <col min="3335" max="3335" width="16.1796875" style="27" bestFit="1" customWidth="1"/>
    <col min="3336" max="3336" width="12.1796875" style="27" bestFit="1" customWidth="1"/>
    <col min="3337" max="3337" width="10.6328125" style="27" bestFit="1" customWidth="1"/>
    <col min="3338" max="3338" width="12.81640625" style="27" bestFit="1" customWidth="1"/>
    <col min="3339" max="3339" width="10.6328125" style="27" bestFit="1" customWidth="1"/>
    <col min="3340" max="3340" width="12.81640625" style="27" bestFit="1" customWidth="1"/>
    <col min="3341" max="3341" width="8.81640625" style="27" bestFit="1" customWidth="1"/>
    <col min="3342" max="3582" width="8.81640625" style="27"/>
    <col min="3583" max="3583" width="29.453125" style="27" customWidth="1"/>
    <col min="3584" max="3584" width="22.81640625" style="27" customWidth="1"/>
    <col min="3585" max="3585" width="14.36328125" style="27" customWidth="1"/>
    <col min="3586" max="3586" width="21" style="27" customWidth="1"/>
    <col min="3587" max="3587" width="8.36328125" style="27" bestFit="1" customWidth="1"/>
    <col min="3588" max="3588" width="9.36328125" style="27" bestFit="1" customWidth="1"/>
    <col min="3589" max="3589" width="20" style="27" bestFit="1" customWidth="1"/>
    <col min="3590" max="3590" width="13.6328125" style="27" bestFit="1" customWidth="1"/>
    <col min="3591" max="3591" width="16.1796875" style="27" bestFit="1" customWidth="1"/>
    <col min="3592" max="3592" width="12.1796875" style="27" bestFit="1" customWidth="1"/>
    <col min="3593" max="3593" width="10.6328125" style="27" bestFit="1" customWidth="1"/>
    <col min="3594" max="3594" width="12.81640625" style="27" bestFit="1" customWidth="1"/>
    <col min="3595" max="3595" width="10.6328125" style="27" bestFit="1" customWidth="1"/>
    <col min="3596" max="3596" width="12.81640625" style="27" bestFit="1" customWidth="1"/>
    <col min="3597" max="3597" width="8.81640625" style="27" bestFit="1" customWidth="1"/>
    <col min="3598" max="3838" width="8.81640625" style="27"/>
    <col min="3839" max="3839" width="29.453125" style="27" customWidth="1"/>
    <col min="3840" max="3840" width="22.81640625" style="27" customWidth="1"/>
    <col min="3841" max="3841" width="14.36328125" style="27" customWidth="1"/>
    <col min="3842" max="3842" width="21" style="27" customWidth="1"/>
    <col min="3843" max="3843" width="8.36328125" style="27" bestFit="1" customWidth="1"/>
    <col min="3844" max="3844" width="9.36328125" style="27" bestFit="1" customWidth="1"/>
    <col min="3845" max="3845" width="20" style="27" bestFit="1" customWidth="1"/>
    <col min="3846" max="3846" width="13.6328125" style="27" bestFit="1" customWidth="1"/>
    <col min="3847" max="3847" width="16.1796875" style="27" bestFit="1" customWidth="1"/>
    <col min="3848" max="3848" width="12.1796875" style="27" bestFit="1" customWidth="1"/>
    <col min="3849" max="3849" width="10.6328125" style="27" bestFit="1" customWidth="1"/>
    <col min="3850" max="3850" width="12.81640625" style="27" bestFit="1" customWidth="1"/>
    <col min="3851" max="3851" width="10.6328125" style="27" bestFit="1" customWidth="1"/>
    <col min="3852" max="3852" width="12.81640625" style="27" bestFit="1" customWidth="1"/>
    <col min="3853" max="3853" width="8.81640625" style="27" bestFit="1" customWidth="1"/>
    <col min="3854" max="4094" width="8.81640625" style="27"/>
    <col min="4095" max="4095" width="29.453125" style="27" customWidth="1"/>
    <col min="4096" max="4096" width="22.81640625" style="27" customWidth="1"/>
    <col min="4097" max="4097" width="14.36328125" style="27" customWidth="1"/>
    <col min="4098" max="4098" width="21" style="27" customWidth="1"/>
    <col min="4099" max="4099" width="8.36328125" style="27" bestFit="1" customWidth="1"/>
    <col min="4100" max="4100" width="9.36328125" style="27" bestFit="1" customWidth="1"/>
    <col min="4101" max="4101" width="20" style="27" bestFit="1" customWidth="1"/>
    <col min="4102" max="4102" width="13.6328125" style="27" bestFit="1" customWidth="1"/>
    <col min="4103" max="4103" width="16.1796875" style="27" bestFit="1" customWidth="1"/>
    <col min="4104" max="4104" width="12.1796875" style="27" bestFit="1" customWidth="1"/>
    <col min="4105" max="4105" width="10.6328125" style="27" bestFit="1" customWidth="1"/>
    <col min="4106" max="4106" width="12.81640625" style="27" bestFit="1" customWidth="1"/>
    <col min="4107" max="4107" width="10.6328125" style="27" bestFit="1" customWidth="1"/>
    <col min="4108" max="4108" width="12.81640625" style="27" bestFit="1" customWidth="1"/>
    <col min="4109" max="4109" width="8.81640625" style="27" bestFit="1" customWidth="1"/>
    <col min="4110" max="4350" width="8.81640625" style="27"/>
    <col min="4351" max="4351" width="29.453125" style="27" customWidth="1"/>
    <col min="4352" max="4352" width="22.81640625" style="27" customWidth="1"/>
    <col min="4353" max="4353" width="14.36328125" style="27" customWidth="1"/>
    <col min="4354" max="4354" width="21" style="27" customWidth="1"/>
    <col min="4355" max="4355" width="8.36328125" style="27" bestFit="1" customWidth="1"/>
    <col min="4356" max="4356" width="9.36328125" style="27" bestFit="1" customWidth="1"/>
    <col min="4357" max="4357" width="20" style="27" bestFit="1" customWidth="1"/>
    <col min="4358" max="4358" width="13.6328125" style="27" bestFit="1" customWidth="1"/>
    <col min="4359" max="4359" width="16.1796875" style="27" bestFit="1" customWidth="1"/>
    <col min="4360" max="4360" width="12.1796875" style="27" bestFit="1" customWidth="1"/>
    <col min="4361" max="4361" width="10.6328125" style="27" bestFit="1" customWidth="1"/>
    <col min="4362" max="4362" width="12.81640625" style="27" bestFit="1" customWidth="1"/>
    <col min="4363" max="4363" width="10.6328125" style="27" bestFit="1" customWidth="1"/>
    <col min="4364" max="4364" width="12.81640625" style="27" bestFit="1" customWidth="1"/>
    <col min="4365" max="4365" width="8.81640625" style="27" bestFit="1" customWidth="1"/>
    <col min="4366" max="4606" width="8.81640625" style="27"/>
    <col min="4607" max="4607" width="29.453125" style="27" customWidth="1"/>
    <col min="4608" max="4608" width="22.81640625" style="27" customWidth="1"/>
    <col min="4609" max="4609" width="14.36328125" style="27" customWidth="1"/>
    <col min="4610" max="4610" width="21" style="27" customWidth="1"/>
    <col min="4611" max="4611" width="8.36328125" style="27" bestFit="1" customWidth="1"/>
    <col min="4612" max="4612" width="9.36328125" style="27" bestFit="1" customWidth="1"/>
    <col min="4613" max="4613" width="20" style="27" bestFit="1" customWidth="1"/>
    <col min="4614" max="4614" width="13.6328125" style="27" bestFit="1" customWidth="1"/>
    <col min="4615" max="4615" width="16.1796875" style="27" bestFit="1" customWidth="1"/>
    <col min="4616" max="4616" width="12.1796875" style="27" bestFit="1" customWidth="1"/>
    <col min="4617" max="4617" width="10.6328125" style="27" bestFit="1" customWidth="1"/>
    <col min="4618" max="4618" width="12.81640625" style="27" bestFit="1" customWidth="1"/>
    <col min="4619" max="4619" width="10.6328125" style="27" bestFit="1" customWidth="1"/>
    <col min="4620" max="4620" width="12.81640625" style="27" bestFit="1" customWidth="1"/>
    <col min="4621" max="4621" width="8.81640625" style="27" bestFit="1" customWidth="1"/>
    <col min="4622" max="4862" width="8.81640625" style="27"/>
    <col min="4863" max="4863" width="29.453125" style="27" customWidth="1"/>
    <col min="4864" max="4864" width="22.81640625" style="27" customWidth="1"/>
    <col min="4865" max="4865" width="14.36328125" style="27" customWidth="1"/>
    <col min="4866" max="4866" width="21" style="27" customWidth="1"/>
    <col min="4867" max="4867" width="8.36328125" style="27" bestFit="1" customWidth="1"/>
    <col min="4868" max="4868" width="9.36328125" style="27" bestFit="1" customWidth="1"/>
    <col min="4869" max="4869" width="20" style="27" bestFit="1" customWidth="1"/>
    <col min="4870" max="4870" width="13.6328125" style="27" bestFit="1" customWidth="1"/>
    <col min="4871" max="4871" width="16.1796875" style="27" bestFit="1" customWidth="1"/>
    <col min="4872" max="4872" width="12.1796875" style="27" bestFit="1" customWidth="1"/>
    <col min="4873" max="4873" width="10.6328125" style="27" bestFit="1" customWidth="1"/>
    <col min="4874" max="4874" width="12.81640625" style="27" bestFit="1" customWidth="1"/>
    <col min="4875" max="4875" width="10.6328125" style="27" bestFit="1" customWidth="1"/>
    <col min="4876" max="4876" width="12.81640625" style="27" bestFit="1" customWidth="1"/>
    <col min="4877" max="4877" width="8.81640625" style="27" bestFit="1" customWidth="1"/>
    <col min="4878" max="5118" width="8.81640625" style="27"/>
    <col min="5119" max="5119" width="29.453125" style="27" customWidth="1"/>
    <col min="5120" max="5120" width="22.81640625" style="27" customWidth="1"/>
    <col min="5121" max="5121" width="14.36328125" style="27" customWidth="1"/>
    <col min="5122" max="5122" width="21" style="27" customWidth="1"/>
    <col min="5123" max="5123" width="8.36328125" style="27" bestFit="1" customWidth="1"/>
    <col min="5124" max="5124" width="9.36328125" style="27" bestFit="1" customWidth="1"/>
    <col min="5125" max="5125" width="20" style="27" bestFit="1" customWidth="1"/>
    <col min="5126" max="5126" width="13.6328125" style="27" bestFit="1" customWidth="1"/>
    <col min="5127" max="5127" width="16.1796875" style="27" bestFit="1" customWidth="1"/>
    <col min="5128" max="5128" width="12.1796875" style="27" bestFit="1" customWidth="1"/>
    <col min="5129" max="5129" width="10.6328125" style="27" bestFit="1" customWidth="1"/>
    <col min="5130" max="5130" width="12.81640625" style="27" bestFit="1" customWidth="1"/>
    <col min="5131" max="5131" width="10.6328125" style="27" bestFit="1" customWidth="1"/>
    <col min="5132" max="5132" width="12.81640625" style="27" bestFit="1" customWidth="1"/>
    <col min="5133" max="5133" width="8.81640625" style="27" bestFit="1" customWidth="1"/>
    <col min="5134" max="5374" width="8.81640625" style="27"/>
    <col min="5375" max="5375" width="29.453125" style="27" customWidth="1"/>
    <col min="5376" max="5376" width="22.81640625" style="27" customWidth="1"/>
    <col min="5377" max="5377" width="14.36328125" style="27" customWidth="1"/>
    <col min="5378" max="5378" width="21" style="27" customWidth="1"/>
    <col min="5379" max="5379" width="8.36328125" style="27" bestFit="1" customWidth="1"/>
    <col min="5380" max="5380" width="9.36328125" style="27" bestFit="1" customWidth="1"/>
    <col min="5381" max="5381" width="20" style="27" bestFit="1" customWidth="1"/>
    <col min="5382" max="5382" width="13.6328125" style="27" bestFit="1" customWidth="1"/>
    <col min="5383" max="5383" width="16.1796875" style="27" bestFit="1" customWidth="1"/>
    <col min="5384" max="5384" width="12.1796875" style="27" bestFit="1" customWidth="1"/>
    <col min="5385" max="5385" width="10.6328125" style="27" bestFit="1" customWidth="1"/>
    <col min="5386" max="5386" width="12.81640625" style="27" bestFit="1" customWidth="1"/>
    <col min="5387" max="5387" width="10.6328125" style="27" bestFit="1" customWidth="1"/>
    <col min="5388" max="5388" width="12.81640625" style="27" bestFit="1" customWidth="1"/>
    <col min="5389" max="5389" width="8.81640625" style="27" bestFit="1" customWidth="1"/>
    <col min="5390" max="5630" width="8.81640625" style="27"/>
    <col min="5631" max="5631" width="29.453125" style="27" customWidth="1"/>
    <col min="5632" max="5632" width="22.81640625" style="27" customWidth="1"/>
    <col min="5633" max="5633" width="14.36328125" style="27" customWidth="1"/>
    <col min="5634" max="5634" width="21" style="27" customWidth="1"/>
    <col min="5635" max="5635" width="8.36328125" style="27" bestFit="1" customWidth="1"/>
    <col min="5636" max="5636" width="9.36328125" style="27" bestFit="1" customWidth="1"/>
    <col min="5637" max="5637" width="20" style="27" bestFit="1" customWidth="1"/>
    <col min="5638" max="5638" width="13.6328125" style="27" bestFit="1" customWidth="1"/>
    <col min="5639" max="5639" width="16.1796875" style="27" bestFit="1" customWidth="1"/>
    <col min="5640" max="5640" width="12.1796875" style="27" bestFit="1" customWidth="1"/>
    <col min="5641" max="5641" width="10.6328125" style="27" bestFit="1" customWidth="1"/>
    <col min="5642" max="5642" width="12.81640625" style="27" bestFit="1" customWidth="1"/>
    <col min="5643" max="5643" width="10.6328125" style="27" bestFit="1" customWidth="1"/>
    <col min="5644" max="5644" width="12.81640625" style="27" bestFit="1" customWidth="1"/>
    <col min="5645" max="5645" width="8.81640625" style="27" bestFit="1" customWidth="1"/>
    <col min="5646" max="5886" width="8.81640625" style="27"/>
    <col min="5887" max="5887" width="29.453125" style="27" customWidth="1"/>
    <col min="5888" max="5888" width="22.81640625" style="27" customWidth="1"/>
    <col min="5889" max="5889" width="14.36328125" style="27" customWidth="1"/>
    <col min="5890" max="5890" width="21" style="27" customWidth="1"/>
    <col min="5891" max="5891" width="8.36328125" style="27" bestFit="1" customWidth="1"/>
    <col min="5892" max="5892" width="9.36328125" style="27" bestFit="1" customWidth="1"/>
    <col min="5893" max="5893" width="20" style="27" bestFit="1" customWidth="1"/>
    <col min="5894" max="5894" width="13.6328125" style="27" bestFit="1" customWidth="1"/>
    <col min="5895" max="5895" width="16.1796875" style="27" bestFit="1" customWidth="1"/>
    <col min="5896" max="5896" width="12.1796875" style="27" bestFit="1" customWidth="1"/>
    <col min="5897" max="5897" width="10.6328125" style="27" bestFit="1" customWidth="1"/>
    <col min="5898" max="5898" width="12.81640625" style="27" bestFit="1" customWidth="1"/>
    <col min="5899" max="5899" width="10.6328125" style="27" bestFit="1" customWidth="1"/>
    <col min="5900" max="5900" width="12.81640625" style="27" bestFit="1" customWidth="1"/>
    <col min="5901" max="5901" width="8.81640625" style="27" bestFit="1" customWidth="1"/>
    <col min="5902" max="6142" width="8.81640625" style="27"/>
    <col min="6143" max="6143" width="29.453125" style="27" customWidth="1"/>
    <col min="6144" max="6144" width="22.81640625" style="27" customWidth="1"/>
    <col min="6145" max="6145" width="14.36328125" style="27" customWidth="1"/>
    <col min="6146" max="6146" width="21" style="27" customWidth="1"/>
    <col min="6147" max="6147" width="8.36328125" style="27" bestFit="1" customWidth="1"/>
    <col min="6148" max="6148" width="9.36328125" style="27" bestFit="1" customWidth="1"/>
    <col min="6149" max="6149" width="20" style="27" bestFit="1" customWidth="1"/>
    <col min="6150" max="6150" width="13.6328125" style="27" bestFit="1" customWidth="1"/>
    <col min="6151" max="6151" width="16.1796875" style="27" bestFit="1" customWidth="1"/>
    <col min="6152" max="6152" width="12.1796875" style="27" bestFit="1" customWidth="1"/>
    <col min="6153" max="6153" width="10.6328125" style="27" bestFit="1" customWidth="1"/>
    <col min="6154" max="6154" width="12.81640625" style="27" bestFit="1" customWidth="1"/>
    <col min="6155" max="6155" width="10.6328125" style="27" bestFit="1" customWidth="1"/>
    <col min="6156" max="6156" width="12.81640625" style="27" bestFit="1" customWidth="1"/>
    <col min="6157" max="6157" width="8.81640625" style="27" bestFit="1" customWidth="1"/>
    <col min="6158" max="6398" width="8.81640625" style="27"/>
    <col min="6399" max="6399" width="29.453125" style="27" customWidth="1"/>
    <col min="6400" max="6400" width="22.81640625" style="27" customWidth="1"/>
    <col min="6401" max="6401" width="14.36328125" style="27" customWidth="1"/>
    <col min="6402" max="6402" width="21" style="27" customWidth="1"/>
    <col min="6403" max="6403" width="8.36328125" style="27" bestFit="1" customWidth="1"/>
    <col min="6404" max="6404" width="9.36328125" style="27" bestFit="1" customWidth="1"/>
    <col min="6405" max="6405" width="20" style="27" bestFit="1" customWidth="1"/>
    <col min="6406" max="6406" width="13.6328125" style="27" bestFit="1" customWidth="1"/>
    <col min="6407" max="6407" width="16.1796875" style="27" bestFit="1" customWidth="1"/>
    <col min="6408" max="6408" width="12.1796875" style="27" bestFit="1" customWidth="1"/>
    <col min="6409" max="6409" width="10.6328125" style="27" bestFit="1" customWidth="1"/>
    <col min="6410" max="6410" width="12.81640625" style="27" bestFit="1" customWidth="1"/>
    <col min="6411" max="6411" width="10.6328125" style="27" bestFit="1" customWidth="1"/>
    <col min="6412" max="6412" width="12.81640625" style="27" bestFit="1" customWidth="1"/>
    <col min="6413" max="6413" width="8.81640625" style="27" bestFit="1" customWidth="1"/>
    <col min="6414" max="6654" width="8.81640625" style="27"/>
    <col min="6655" max="6655" width="29.453125" style="27" customWidth="1"/>
    <col min="6656" max="6656" width="22.81640625" style="27" customWidth="1"/>
    <col min="6657" max="6657" width="14.36328125" style="27" customWidth="1"/>
    <col min="6658" max="6658" width="21" style="27" customWidth="1"/>
    <col min="6659" max="6659" width="8.36328125" style="27" bestFit="1" customWidth="1"/>
    <col min="6660" max="6660" width="9.36328125" style="27" bestFit="1" customWidth="1"/>
    <col min="6661" max="6661" width="20" style="27" bestFit="1" customWidth="1"/>
    <col min="6662" max="6662" width="13.6328125" style="27" bestFit="1" customWidth="1"/>
    <col min="6663" max="6663" width="16.1796875" style="27" bestFit="1" customWidth="1"/>
    <col min="6664" max="6664" width="12.1796875" style="27" bestFit="1" customWidth="1"/>
    <col min="6665" max="6665" width="10.6328125" style="27" bestFit="1" customWidth="1"/>
    <col min="6666" max="6666" width="12.81640625" style="27" bestFit="1" customWidth="1"/>
    <col min="6667" max="6667" width="10.6328125" style="27" bestFit="1" customWidth="1"/>
    <col min="6668" max="6668" width="12.81640625" style="27" bestFit="1" customWidth="1"/>
    <col min="6669" max="6669" width="8.81640625" style="27" bestFit="1" customWidth="1"/>
    <col min="6670" max="6910" width="8.81640625" style="27"/>
    <col min="6911" max="6911" width="29.453125" style="27" customWidth="1"/>
    <col min="6912" max="6912" width="22.81640625" style="27" customWidth="1"/>
    <col min="6913" max="6913" width="14.36328125" style="27" customWidth="1"/>
    <col min="6914" max="6914" width="21" style="27" customWidth="1"/>
    <col min="6915" max="6915" width="8.36328125" style="27" bestFit="1" customWidth="1"/>
    <col min="6916" max="6916" width="9.36328125" style="27" bestFit="1" customWidth="1"/>
    <col min="6917" max="6917" width="20" style="27" bestFit="1" customWidth="1"/>
    <col min="6918" max="6918" width="13.6328125" style="27" bestFit="1" customWidth="1"/>
    <col min="6919" max="6919" width="16.1796875" style="27" bestFit="1" customWidth="1"/>
    <col min="6920" max="6920" width="12.1796875" style="27" bestFit="1" customWidth="1"/>
    <col min="6921" max="6921" width="10.6328125" style="27" bestFit="1" customWidth="1"/>
    <col min="6922" max="6922" width="12.81640625" style="27" bestFit="1" customWidth="1"/>
    <col min="6923" max="6923" width="10.6328125" style="27" bestFit="1" customWidth="1"/>
    <col min="6924" max="6924" width="12.81640625" style="27" bestFit="1" customWidth="1"/>
    <col min="6925" max="6925" width="8.81640625" style="27" bestFit="1" customWidth="1"/>
    <col min="6926" max="7166" width="8.81640625" style="27"/>
    <col min="7167" max="7167" width="29.453125" style="27" customWidth="1"/>
    <col min="7168" max="7168" width="22.81640625" style="27" customWidth="1"/>
    <col min="7169" max="7169" width="14.36328125" style="27" customWidth="1"/>
    <col min="7170" max="7170" width="21" style="27" customWidth="1"/>
    <col min="7171" max="7171" width="8.36328125" style="27" bestFit="1" customWidth="1"/>
    <col min="7172" max="7172" width="9.36328125" style="27" bestFit="1" customWidth="1"/>
    <col min="7173" max="7173" width="20" style="27" bestFit="1" customWidth="1"/>
    <col min="7174" max="7174" width="13.6328125" style="27" bestFit="1" customWidth="1"/>
    <col min="7175" max="7175" width="16.1796875" style="27" bestFit="1" customWidth="1"/>
    <col min="7176" max="7176" width="12.1796875" style="27" bestFit="1" customWidth="1"/>
    <col min="7177" max="7177" width="10.6328125" style="27" bestFit="1" customWidth="1"/>
    <col min="7178" max="7178" width="12.81640625" style="27" bestFit="1" customWidth="1"/>
    <col min="7179" max="7179" width="10.6328125" style="27" bestFit="1" customWidth="1"/>
    <col min="7180" max="7180" width="12.81640625" style="27" bestFit="1" customWidth="1"/>
    <col min="7181" max="7181" width="8.81640625" style="27" bestFit="1" customWidth="1"/>
    <col min="7182" max="7422" width="8.81640625" style="27"/>
    <col min="7423" max="7423" width="29.453125" style="27" customWidth="1"/>
    <col min="7424" max="7424" width="22.81640625" style="27" customWidth="1"/>
    <col min="7425" max="7425" width="14.36328125" style="27" customWidth="1"/>
    <col min="7426" max="7426" width="21" style="27" customWidth="1"/>
    <col min="7427" max="7427" width="8.36328125" style="27" bestFit="1" customWidth="1"/>
    <col min="7428" max="7428" width="9.36328125" style="27" bestFit="1" customWidth="1"/>
    <col min="7429" max="7429" width="20" style="27" bestFit="1" customWidth="1"/>
    <col min="7430" max="7430" width="13.6328125" style="27" bestFit="1" customWidth="1"/>
    <col min="7431" max="7431" width="16.1796875" style="27" bestFit="1" customWidth="1"/>
    <col min="7432" max="7432" width="12.1796875" style="27" bestFit="1" customWidth="1"/>
    <col min="7433" max="7433" width="10.6328125" style="27" bestFit="1" customWidth="1"/>
    <col min="7434" max="7434" width="12.81640625" style="27" bestFit="1" customWidth="1"/>
    <col min="7435" max="7435" width="10.6328125" style="27" bestFit="1" customWidth="1"/>
    <col min="7436" max="7436" width="12.81640625" style="27" bestFit="1" customWidth="1"/>
    <col min="7437" max="7437" width="8.81640625" style="27" bestFit="1" customWidth="1"/>
    <col min="7438" max="7678" width="8.81640625" style="27"/>
    <col min="7679" max="7679" width="29.453125" style="27" customWidth="1"/>
    <col min="7680" max="7680" width="22.81640625" style="27" customWidth="1"/>
    <col min="7681" max="7681" width="14.36328125" style="27" customWidth="1"/>
    <col min="7682" max="7682" width="21" style="27" customWidth="1"/>
    <col min="7683" max="7683" width="8.36328125" style="27" bestFit="1" customWidth="1"/>
    <col min="7684" max="7684" width="9.36328125" style="27" bestFit="1" customWidth="1"/>
    <col min="7685" max="7685" width="20" style="27" bestFit="1" customWidth="1"/>
    <col min="7686" max="7686" width="13.6328125" style="27" bestFit="1" customWidth="1"/>
    <col min="7687" max="7687" width="16.1796875" style="27" bestFit="1" customWidth="1"/>
    <col min="7688" max="7688" width="12.1796875" style="27" bestFit="1" customWidth="1"/>
    <col min="7689" max="7689" width="10.6328125" style="27" bestFit="1" customWidth="1"/>
    <col min="7690" max="7690" width="12.81640625" style="27" bestFit="1" customWidth="1"/>
    <col min="7691" max="7691" width="10.6328125" style="27" bestFit="1" customWidth="1"/>
    <col min="7692" max="7692" width="12.81640625" style="27" bestFit="1" customWidth="1"/>
    <col min="7693" max="7693" width="8.81640625" style="27" bestFit="1" customWidth="1"/>
    <col min="7694" max="7934" width="8.81640625" style="27"/>
    <col min="7935" max="7935" width="29.453125" style="27" customWidth="1"/>
    <col min="7936" max="7936" width="22.81640625" style="27" customWidth="1"/>
    <col min="7937" max="7937" width="14.36328125" style="27" customWidth="1"/>
    <col min="7938" max="7938" width="21" style="27" customWidth="1"/>
    <col min="7939" max="7939" width="8.36328125" style="27" bestFit="1" customWidth="1"/>
    <col min="7940" max="7940" width="9.36328125" style="27" bestFit="1" customWidth="1"/>
    <col min="7941" max="7941" width="20" style="27" bestFit="1" customWidth="1"/>
    <col min="7942" max="7942" width="13.6328125" style="27" bestFit="1" customWidth="1"/>
    <col min="7943" max="7943" width="16.1796875" style="27" bestFit="1" customWidth="1"/>
    <col min="7944" max="7944" width="12.1796875" style="27" bestFit="1" customWidth="1"/>
    <col min="7945" max="7945" width="10.6328125" style="27" bestFit="1" customWidth="1"/>
    <col min="7946" max="7946" width="12.81640625" style="27" bestFit="1" customWidth="1"/>
    <col min="7947" max="7947" width="10.6328125" style="27" bestFit="1" customWidth="1"/>
    <col min="7948" max="7948" width="12.81640625" style="27" bestFit="1" customWidth="1"/>
    <col min="7949" max="7949" width="8.81640625" style="27" bestFit="1" customWidth="1"/>
    <col min="7950" max="8190" width="8.81640625" style="27"/>
    <col min="8191" max="8191" width="29.453125" style="27" customWidth="1"/>
    <col min="8192" max="8192" width="22.81640625" style="27" customWidth="1"/>
    <col min="8193" max="8193" width="14.36328125" style="27" customWidth="1"/>
    <col min="8194" max="8194" width="21" style="27" customWidth="1"/>
    <col min="8195" max="8195" width="8.36328125" style="27" bestFit="1" customWidth="1"/>
    <col min="8196" max="8196" width="9.36328125" style="27" bestFit="1" customWidth="1"/>
    <col min="8197" max="8197" width="20" style="27" bestFit="1" customWidth="1"/>
    <col min="8198" max="8198" width="13.6328125" style="27" bestFit="1" customWidth="1"/>
    <col min="8199" max="8199" width="16.1796875" style="27" bestFit="1" customWidth="1"/>
    <col min="8200" max="8200" width="12.1796875" style="27" bestFit="1" customWidth="1"/>
    <col min="8201" max="8201" width="10.6328125" style="27" bestFit="1" customWidth="1"/>
    <col min="8202" max="8202" width="12.81640625" style="27" bestFit="1" customWidth="1"/>
    <col min="8203" max="8203" width="10.6328125" style="27" bestFit="1" customWidth="1"/>
    <col min="8204" max="8204" width="12.81640625" style="27" bestFit="1" customWidth="1"/>
    <col min="8205" max="8205" width="8.81640625" style="27" bestFit="1" customWidth="1"/>
    <col min="8206" max="8446" width="8.81640625" style="27"/>
    <col min="8447" max="8447" width="29.453125" style="27" customWidth="1"/>
    <col min="8448" max="8448" width="22.81640625" style="27" customWidth="1"/>
    <col min="8449" max="8449" width="14.36328125" style="27" customWidth="1"/>
    <col min="8450" max="8450" width="21" style="27" customWidth="1"/>
    <col min="8451" max="8451" width="8.36328125" style="27" bestFit="1" customWidth="1"/>
    <col min="8452" max="8452" width="9.36328125" style="27" bestFit="1" customWidth="1"/>
    <col min="8453" max="8453" width="20" style="27" bestFit="1" customWidth="1"/>
    <col min="8454" max="8454" width="13.6328125" style="27" bestFit="1" customWidth="1"/>
    <col min="8455" max="8455" width="16.1796875" style="27" bestFit="1" customWidth="1"/>
    <col min="8456" max="8456" width="12.1796875" style="27" bestFit="1" customWidth="1"/>
    <col min="8457" max="8457" width="10.6328125" style="27" bestFit="1" customWidth="1"/>
    <col min="8458" max="8458" width="12.81640625" style="27" bestFit="1" customWidth="1"/>
    <col min="8459" max="8459" width="10.6328125" style="27" bestFit="1" customWidth="1"/>
    <col min="8460" max="8460" width="12.81640625" style="27" bestFit="1" customWidth="1"/>
    <col min="8461" max="8461" width="8.81640625" style="27" bestFit="1" customWidth="1"/>
    <col min="8462" max="8702" width="8.81640625" style="27"/>
    <col min="8703" max="8703" width="29.453125" style="27" customWidth="1"/>
    <col min="8704" max="8704" width="22.81640625" style="27" customWidth="1"/>
    <col min="8705" max="8705" width="14.36328125" style="27" customWidth="1"/>
    <col min="8706" max="8706" width="21" style="27" customWidth="1"/>
    <col min="8707" max="8707" width="8.36328125" style="27" bestFit="1" customWidth="1"/>
    <col min="8708" max="8708" width="9.36328125" style="27" bestFit="1" customWidth="1"/>
    <col min="8709" max="8709" width="20" style="27" bestFit="1" customWidth="1"/>
    <col min="8710" max="8710" width="13.6328125" style="27" bestFit="1" customWidth="1"/>
    <col min="8711" max="8711" width="16.1796875" style="27" bestFit="1" customWidth="1"/>
    <col min="8712" max="8712" width="12.1796875" style="27" bestFit="1" customWidth="1"/>
    <col min="8713" max="8713" width="10.6328125" style="27" bestFit="1" customWidth="1"/>
    <col min="8714" max="8714" width="12.81640625" style="27" bestFit="1" customWidth="1"/>
    <col min="8715" max="8715" width="10.6328125" style="27" bestFit="1" customWidth="1"/>
    <col min="8716" max="8716" width="12.81640625" style="27" bestFit="1" customWidth="1"/>
    <col min="8717" max="8717" width="8.81640625" style="27" bestFit="1" customWidth="1"/>
    <col min="8718" max="8958" width="8.81640625" style="27"/>
    <col min="8959" max="8959" width="29.453125" style="27" customWidth="1"/>
    <col min="8960" max="8960" width="22.81640625" style="27" customWidth="1"/>
    <col min="8961" max="8961" width="14.36328125" style="27" customWidth="1"/>
    <col min="8962" max="8962" width="21" style="27" customWidth="1"/>
    <col min="8963" max="8963" width="8.36328125" style="27" bestFit="1" customWidth="1"/>
    <col min="8964" max="8964" width="9.36328125" style="27" bestFit="1" customWidth="1"/>
    <col min="8965" max="8965" width="20" style="27" bestFit="1" customWidth="1"/>
    <col min="8966" max="8966" width="13.6328125" style="27" bestFit="1" customWidth="1"/>
    <col min="8967" max="8967" width="16.1796875" style="27" bestFit="1" customWidth="1"/>
    <col min="8968" max="8968" width="12.1796875" style="27" bestFit="1" customWidth="1"/>
    <col min="8969" max="8969" width="10.6328125" style="27" bestFit="1" customWidth="1"/>
    <col min="8970" max="8970" width="12.81640625" style="27" bestFit="1" customWidth="1"/>
    <col min="8971" max="8971" width="10.6328125" style="27" bestFit="1" customWidth="1"/>
    <col min="8972" max="8972" width="12.81640625" style="27" bestFit="1" customWidth="1"/>
    <col min="8973" max="8973" width="8.81640625" style="27" bestFit="1" customWidth="1"/>
    <col min="8974" max="9214" width="8.81640625" style="27"/>
    <col min="9215" max="9215" width="29.453125" style="27" customWidth="1"/>
    <col min="9216" max="9216" width="22.81640625" style="27" customWidth="1"/>
    <col min="9217" max="9217" width="14.36328125" style="27" customWidth="1"/>
    <col min="9218" max="9218" width="21" style="27" customWidth="1"/>
    <col min="9219" max="9219" width="8.36328125" style="27" bestFit="1" customWidth="1"/>
    <col min="9220" max="9220" width="9.36328125" style="27" bestFit="1" customWidth="1"/>
    <col min="9221" max="9221" width="20" style="27" bestFit="1" customWidth="1"/>
    <col min="9222" max="9222" width="13.6328125" style="27" bestFit="1" customWidth="1"/>
    <col min="9223" max="9223" width="16.1796875" style="27" bestFit="1" customWidth="1"/>
    <col min="9224" max="9224" width="12.1796875" style="27" bestFit="1" customWidth="1"/>
    <col min="9225" max="9225" width="10.6328125" style="27" bestFit="1" customWidth="1"/>
    <col min="9226" max="9226" width="12.81640625" style="27" bestFit="1" customWidth="1"/>
    <col min="9227" max="9227" width="10.6328125" style="27" bestFit="1" customWidth="1"/>
    <col min="9228" max="9228" width="12.81640625" style="27" bestFit="1" customWidth="1"/>
    <col min="9229" max="9229" width="8.81640625" style="27" bestFit="1" customWidth="1"/>
    <col min="9230" max="9470" width="8.81640625" style="27"/>
    <col min="9471" max="9471" width="29.453125" style="27" customWidth="1"/>
    <col min="9472" max="9472" width="22.81640625" style="27" customWidth="1"/>
    <col min="9473" max="9473" width="14.36328125" style="27" customWidth="1"/>
    <col min="9474" max="9474" width="21" style="27" customWidth="1"/>
    <col min="9475" max="9475" width="8.36328125" style="27" bestFit="1" customWidth="1"/>
    <col min="9476" max="9476" width="9.36328125" style="27" bestFit="1" customWidth="1"/>
    <col min="9477" max="9477" width="20" style="27" bestFit="1" customWidth="1"/>
    <col min="9478" max="9478" width="13.6328125" style="27" bestFit="1" customWidth="1"/>
    <col min="9479" max="9479" width="16.1796875" style="27" bestFit="1" customWidth="1"/>
    <col min="9480" max="9480" width="12.1796875" style="27" bestFit="1" customWidth="1"/>
    <col min="9481" max="9481" width="10.6328125" style="27" bestFit="1" customWidth="1"/>
    <col min="9482" max="9482" width="12.81640625" style="27" bestFit="1" customWidth="1"/>
    <col min="9483" max="9483" width="10.6328125" style="27" bestFit="1" customWidth="1"/>
    <col min="9484" max="9484" width="12.81640625" style="27" bestFit="1" customWidth="1"/>
    <col min="9485" max="9485" width="8.81640625" style="27" bestFit="1" customWidth="1"/>
    <col min="9486" max="9726" width="8.81640625" style="27"/>
    <col min="9727" max="9727" width="29.453125" style="27" customWidth="1"/>
    <col min="9728" max="9728" width="22.81640625" style="27" customWidth="1"/>
    <col min="9729" max="9729" width="14.36328125" style="27" customWidth="1"/>
    <col min="9730" max="9730" width="21" style="27" customWidth="1"/>
    <col min="9731" max="9731" width="8.36328125" style="27" bestFit="1" customWidth="1"/>
    <col min="9732" max="9732" width="9.36328125" style="27" bestFit="1" customWidth="1"/>
    <col min="9733" max="9733" width="20" style="27" bestFit="1" customWidth="1"/>
    <col min="9734" max="9734" width="13.6328125" style="27" bestFit="1" customWidth="1"/>
    <col min="9735" max="9735" width="16.1796875" style="27" bestFit="1" customWidth="1"/>
    <col min="9736" max="9736" width="12.1796875" style="27" bestFit="1" customWidth="1"/>
    <col min="9737" max="9737" width="10.6328125" style="27" bestFit="1" customWidth="1"/>
    <col min="9738" max="9738" width="12.81640625" style="27" bestFit="1" customWidth="1"/>
    <col min="9739" max="9739" width="10.6328125" style="27" bestFit="1" customWidth="1"/>
    <col min="9740" max="9740" width="12.81640625" style="27" bestFit="1" customWidth="1"/>
    <col min="9741" max="9741" width="8.81640625" style="27" bestFit="1" customWidth="1"/>
    <col min="9742" max="9982" width="8.81640625" style="27"/>
    <col min="9983" max="9983" width="29.453125" style="27" customWidth="1"/>
    <col min="9984" max="9984" width="22.81640625" style="27" customWidth="1"/>
    <col min="9985" max="9985" width="14.36328125" style="27" customWidth="1"/>
    <col min="9986" max="9986" width="21" style="27" customWidth="1"/>
    <col min="9987" max="9987" width="8.36328125" style="27" bestFit="1" customWidth="1"/>
    <col min="9988" max="9988" width="9.36328125" style="27" bestFit="1" customWidth="1"/>
    <col min="9989" max="9989" width="20" style="27" bestFit="1" customWidth="1"/>
    <col min="9990" max="9990" width="13.6328125" style="27" bestFit="1" customWidth="1"/>
    <col min="9991" max="9991" width="16.1796875" style="27" bestFit="1" customWidth="1"/>
    <col min="9992" max="9992" width="12.1796875" style="27" bestFit="1" customWidth="1"/>
    <col min="9993" max="9993" width="10.6328125" style="27" bestFit="1" customWidth="1"/>
    <col min="9994" max="9994" width="12.81640625" style="27" bestFit="1" customWidth="1"/>
    <col min="9995" max="9995" width="10.6328125" style="27" bestFit="1" customWidth="1"/>
    <col min="9996" max="9996" width="12.81640625" style="27" bestFit="1" customWidth="1"/>
    <col min="9997" max="9997" width="8.81640625" style="27" bestFit="1" customWidth="1"/>
    <col min="9998" max="10238" width="8.81640625" style="27"/>
    <col min="10239" max="10239" width="29.453125" style="27" customWidth="1"/>
    <col min="10240" max="10240" width="22.81640625" style="27" customWidth="1"/>
    <col min="10241" max="10241" width="14.36328125" style="27" customWidth="1"/>
    <col min="10242" max="10242" width="21" style="27" customWidth="1"/>
    <col min="10243" max="10243" width="8.36328125" style="27" bestFit="1" customWidth="1"/>
    <col min="10244" max="10244" width="9.36328125" style="27" bestFit="1" customWidth="1"/>
    <col min="10245" max="10245" width="20" style="27" bestFit="1" customWidth="1"/>
    <col min="10246" max="10246" width="13.6328125" style="27" bestFit="1" customWidth="1"/>
    <col min="10247" max="10247" width="16.1796875" style="27" bestFit="1" customWidth="1"/>
    <col min="10248" max="10248" width="12.1796875" style="27" bestFit="1" customWidth="1"/>
    <col min="10249" max="10249" width="10.6328125" style="27" bestFit="1" customWidth="1"/>
    <col min="10250" max="10250" width="12.81640625" style="27" bestFit="1" customWidth="1"/>
    <col min="10251" max="10251" width="10.6328125" style="27" bestFit="1" customWidth="1"/>
    <col min="10252" max="10252" width="12.81640625" style="27" bestFit="1" customWidth="1"/>
    <col min="10253" max="10253" width="8.81640625" style="27" bestFit="1" customWidth="1"/>
    <col min="10254" max="10494" width="8.81640625" style="27"/>
    <col min="10495" max="10495" width="29.453125" style="27" customWidth="1"/>
    <col min="10496" max="10496" width="22.81640625" style="27" customWidth="1"/>
    <col min="10497" max="10497" width="14.36328125" style="27" customWidth="1"/>
    <col min="10498" max="10498" width="21" style="27" customWidth="1"/>
    <col min="10499" max="10499" width="8.36328125" style="27" bestFit="1" customWidth="1"/>
    <col min="10500" max="10500" width="9.36328125" style="27" bestFit="1" customWidth="1"/>
    <col min="10501" max="10501" width="20" style="27" bestFit="1" customWidth="1"/>
    <col min="10502" max="10502" width="13.6328125" style="27" bestFit="1" customWidth="1"/>
    <col min="10503" max="10503" width="16.1796875" style="27" bestFit="1" customWidth="1"/>
    <col min="10504" max="10504" width="12.1796875" style="27" bestFit="1" customWidth="1"/>
    <col min="10505" max="10505" width="10.6328125" style="27" bestFit="1" customWidth="1"/>
    <col min="10506" max="10506" width="12.81640625" style="27" bestFit="1" customWidth="1"/>
    <col min="10507" max="10507" width="10.6328125" style="27" bestFit="1" customWidth="1"/>
    <col min="10508" max="10508" width="12.81640625" style="27" bestFit="1" customWidth="1"/>
    <col min="10509" max="10509" width="8.81640625" style="27" bestFit="1" customWidth="1"/>
    <col min="10510" max="10750" width="8.81640625" style="27"/>
    <col min="10751" max="10751" width="29.453125" style="27" customWidth="1"/>
    <col min="10752" max="10752" width="22.81640625" style="27" customWidth="1"/>
    <col min="10753" max="10753" width="14.36328125" style="27" customWidth="1"/>
    <col min="10754" max="10754" width="21" style="27" customWidth="1"/>
    <col min="10755" max="10755" width="8.36328125" style="27" bestFit="1" customWidth="1"/>
    <col min="10756" max="10756" width="9.36328125" style="27" bestFit="1" customWidth="1"/>
    <col min="10757" max="10757" width="20" style="27" bestFit="1" customWidth="1"/>
    <col min="10758" max="10758" width="13.6328125" style="27" bestFit="1" customWidth="1"/>
    <col min="10759" max="10759" width="16.1796875" style="27" bestFit="1" customWidth="1"/>
    <col min="10760" max="10760" width="12.1796875" style="27" bestFit="1" customWidth="1"/>
    <col min="10761" max="10761" width="10.6328125" style="27" bestFit="1" customWidth="1"/>
    <col min="10762" max="10762" width="12.81640625" style="27" bestFit="1" customWidth="1"/>
    <col min="10763" max="10763" width="10.6328125" style="27" bestFit="1" customWidth="1"/>
    <col min="10764" max="10764" width="12.81640625" style="27" bestFit="1" customWidth="1"/>
    <col min="10765" max="10765" width="8.81640625" style="27" bestFit="1" customWidth="1"/>
    <col min="10766" max="11006" width="8.81640625" style="27"/>
    <col min="11007" max="11007" width="29.453125" style="27" customWidth="1"/>
    <col min="11008" max="11008" width="22.81640625" style="27" customWidth="1"/>
    <col min="11009" max="11009" width="14.36328125" style="27" customWidth="1"/>
    <col min="11010" max="11010" width="21" style="27" customWidth="1"/>
    <col min="11011" max="11011" width="8.36328125" style="27" bestFit="1" customWidth="1"/>
    <col min="11012" max="11012" width="9.36328125" style="27" bestFit="1" customWidth="1"/>
    <col min="11013" max="11013" width="20" style="27" bestFit="1" customWidth="1"/>
    <col min="11014" max="11014" width="13.6328125" style="27" bestFit="1" customWidth="1"/>
    <col min="11015" max="11015" width="16.1796875" style="27" bestFit="1" customWidth="1"/>
    <col min="11016" max="11016" width="12.1796875" style="27" bestFit="1" customWidth="1"/>
    <col min="11017" max="11017" width="10.6328125" style="27" bestFit="1" customWidth="1"/>
    <col min="11018" max="11018" width="12.81640625" style="27" bestFit="1" customWidth="1"/>
    <col min="11019" max="11019" width="10.6328125" style="27" bestFit="1" customWidth="1"/>
    <col min="11020" max="11020" width="12.81640625" style="27" bestFit="1" customWidth="1"/>
    <col min="11021" max="11021" width="8.81640625" style="27" bestFit="1" customWidth="1"/>
    <col min="11022" max="11262" width="8.81640625" style="27"/>
    <col min="11263" max="11263" width="29.453125" style="27" customWidth="1"/>
    <col min="11264" max="11264" width="22.81640625" style="27" customWidth="1"/>
    <col min="11265" max="11265" width="14.36328125" style="27" customWidth="1"/>
    <col min="11266" max="11266" width="21" style="27" customWidth="1"/>
    <col min="11267" max="11267" width="8.36328125" style="27" bestFit="1" customWidth="1"/>
    <col min="11268" max="11268" width="9.36328125" style="27" bestFit="1" customWidth="1"/>
    <col min="11269" max="11269" width="20" style="27" bestFit="1" customWidth="1"/>
    <col min="11270" max="11270" width="13.6328125" style="27" bestFit="1" customWidth="1"/>
    <col min="11271" max="11271" width="16.1796875" style="27" bestFit="1" customWidth="1"/>
    <col min="11272" max="11272" width="12.1796875" style="27" bestFit="1" customWidth="1"/>
    <col min="11273" max="11273" width="10.6328125" style="27" bestFit="1" customWidth="1"/>
    <col min="11274" max="11274" width="12.81640625" style="27" bestFit="1" customWidth="1"/>
    <col min="11275" max="11275" width="10.6328125" style="27" bestFit="1" customWidth="1"/>
    <col min="11276" max="11276" width="12.81640625" style="27" bestFit="1" customWidth="1"/>
    <col min="11277" max="11277" width="8.81640625" style="27" bestFit="1" customWidth="1"/>
    <col min="11278" max="11518" width="8.81640625" style="27"/>
    <col min="11519" max="11519" width="29.453125" style="27" customWidth="1"/>
    <col min="11520" max="11520" width="22.81640625" style="27" customWidth="1"/>
    <col min="11521" max="11521" width="14.36328125" style="27" customWidth="1"/>
    <col min="11522" max="11522" width="21" style="27" customWidth="1"/>
    <col min="11523" max="11523" width="8.36328125" style="27" bestFit="1" customWidth="1"/>
    <col min="11524" max="11524" width="9.36328125" style="27" bestFit="1" customWidth="1"/>
    <col min="11525" max="11525" width="20" style="27" bestFit="1" customWidth="1"/>
    <col min="11526" max="11526" width="13.6328125" style="27" bestFit="1" customWidth="1"/>
    <col min="11527" max="11527" width="16.1796875" style="27" bestFit="1" customWidth="1"/>
    <col min="11528" max="11528" width="12.1796875" style="27" bestFit="1" customWidth="1"/>
    <col min="11529" max="11529" width="10.6328125" style="27" bestFit="1" customWidth="1"/>
    <col min="11530" max="11530" width="12.81640625" style="27" bestFit="1" customWidth="1"/>
    <col min="11531" max="11531" width="10.6328125" style="27" bestFit="1" customWidth="1"/>
    <col min="11532" max="11532" width="12.81640625" style="27" bestFit="1" customWidth="1"/>
    <col min="11533" max="11533" width="8.81640625" style="27" bestFit="1" customWidth="1"/>
    <col min="11534" max="11774" width="8.81640625" style="27"/>
    <col min="11775" max="11775" width="29.453125" style="27" customWidth="1"/>
    <col min="11776" max="11776" width="22.81640625" style="27" customWidth="1"/>
    <col min="11777" max="11777" width="14.36328125" style="27" customWidth="1"/>
    <col min="11778" max="11778" width="21" style="27" customWidth="1"/>
    <col min="11779" max="11779" width="8.36328125" style="27" bestFit="1" customWidth="1"/>
    <col min="11780" max="11780" width="9.36328125" style="27" bestFit="1" customWidth="1"/>
    <col min="11781" max="11781" width="20" style="27" bestFit="1" customWidth="1"/>
    <col min="11782" max="11782" width="13.6328125" style="27" bestFit="1" customWidth="1"/>
    <col min="11783" max="11783" width="16.1796875" style="27" bestFit="1" customWidth="1"/>
    <col min="11784" max="11784" width="12.1796875" style="27" bestFit="1" customWidth="1"/>
    <col min="11785" max="11785" width="10.6328125" style="27" bestFit="1" customWidth="1"/>
    <col min="11786" max="11786" width="12.81640625" style="27" bestFit="1" customWidth="1"/>
    <col min="11787" max="11787" width="10.6328125" style="27" bestFit="1" customWidth="1"/>
    <col min="11788" max="11788" width="12.81640625" style="27" bestFit="1" customWidth="1"/>
    <col min="11789" max="11789" width="8.81640625" style="27" bestFit="1" customWidth="1"/>
    <col min="11790" max="12030" width="8.81640625" style="27"/>
    <col min="12031" max="12031" width="29.453125" style="27" customWidth="1"/>
    <col min="12032" max="12032" width="22.81640625" style="27" customWidth="1"/>
    <col min="12033" max="12033" width="14.36328125" style="27" customWidth="1"/>
    <col min="12034" max="12034" width="21" style="27" customWidth="1"/>
    <col min="12035" max="12035" width="8.36328125" style="27" bestFit="1" customWidth="1"/>
    <col min="12036" max="12036" width="9.36328125" style="27" bestFit="1" customWidth="1"/>
    <col min="12037" max="12037" width="20" style="27" bestFit="1" customWidth="1"/>
    <col min="12038" max="12038" width="13.6328125" style="27" bestFit="1" customWidth="1"/>
    <col min="12039" max="12039" width="16.1796875" style="27" bestFit="1" customWidth="1"/>
    <col min="12040" max="12040" width="12.1796875" style="27" bestFit="1" customWidth="1"/>
    <col min="12041" max="12041" width="10.6328125" style="27" bestFit="1" customWidth="1"/>
    <col min="12042" max="12042" width="12.81640625" style="27" bestFit="1" customWidth="1"/>
    <col min="12043" max="12043" width="10.6328125" style="27" bestFit="1" customWidth="1"/>
    <col min="12044" max="12044" width="12.81640625" style="27" bestFit="1" customWidth="1"/>
    <col min="12045" max="12045" width="8.81640625" style="27" bestFit="1" customWidth="1"/>
    <col min="12046" max="12286" width="8.81640625" style="27"/>
    <col min="12287" max="12287" width="29.453125" style="27" customWidth="1"/>
    <col min="12288" max="12288" width="22.81640625" style="27" customWidth="1"/>
    <col min="12289" max="12289" width="14.36328125" style="27" customWidth="1"/>
    <col min="12290" max="12290" width="21" style="27" customWidth="1"/>
    <col min="12291" max="12291" width="8.36328125" style="27" bestFit="1" customWidth="1"/>
    <col min="12292" max="12292" width="9.36328125" style="27" bestFit="1" customWidth="1"/>
    <col min="12293" max="12293" width="20" style="27" bestFit="1" customWidth="1"/>
    <col min="12294" max="12294" width="13.6328125" style="27" bestFit="1" customWidth="1"/>
    <col min="12295" max="12295" width="16.1796875" style="27" bestFit="1" customWidth="1"/>
    <col min="12296" max="12296" width="12.1796875" style="27" bestFit="1" customWidth="1"/>
    <col min="12297" max="12297" width="10.6328125" style="27" bestFit="1" customWidth="1"/>
    <col min="12298" max="12298" width="12.81640625" style="27" bestFit="1" customWidth="1"/>
    <col min="12299" max="12299" width="10.6328125" style="27" bestFit="1" customWidth="1"/>
    <col min="12300" max="12300" width="12.81640625" style="27" bestFit="1" customWidth="1"/>
    <col min="12301" max="12301" width="8.81640625" style="27" bestFit="1" customWidth="1"/>
    <col min="12302" max="12542" width="8.81640625" style="27"/>
    <col min="12543" max="12543" width="29.453125" style="27" customWidth="1"/>
    <col min="12544" max="12544" width="22.81640625" style="27" customWidth="1"/>
    <col min="12545" max="12545" width="14.36328125" style="27" customWidth="1"/>
    <col min="12546" max="12546" width="21" style="27" customWidth="1"/>
    <col min="12547" max="12547" width="8.36328125" style="27" bestFit="1" customWidth="1"/>
    <col min="12548" max="12548" width="9.36328125" style="27" bestFit="1" customWidth="1"/>
    <col min="12549" max="12549" width="20" style="27" bestFit="1" customWidth="1"/>
    <col min="12550" max="12550" width="13.6328125" style="27" bestFit="1" customWidth="1"/>
    <col min="12551" max="12551" width="16.1796875" style="27" bestFit="1" customWidth="1"/>
    <col min="12552" max="12552" width="12.1796875" style="27" bestFit="1" customWidth="1"/>
    <col min="12553" max="12553" width="10.6328125" style="27" bestFit="1" customWidth="1"/>
    <col min="12554" max="12554" width="12.81640625" style="27" bestFit="1" customWidth="1"/>
    <col min="12555" max="12555" width="10.6328125" style="27" bestFit="1" customWidth="1"/>
    <col min="12556" max="12556" width="12.81640625" style="27" bestFit="1" customWidth="1"/>
    <col min="12557" max="12557" width="8.81640625" style="27" bestFit="1" customWidth="1"/>
    <col min="12558" max="12798" width="8.81640625" style="27"/>
    <col min="12799" max="12799" width="29.453125" style="27" customWidth="1"/>
    <col min="12800" max="12800" width="22.81640625" style="27" customWidth="1"/>
    <col min="12801" max="12801" width="14.36328125" style="27" customWidth="1"/>
    <col min="12802" max="12802" width="21" style="27" customWidth="1"/>
    <col min="12803" max="12803" width="8.36328125" style="27" bestFit="1" customWidth="1"/>
    <col min="12804" max="12804" width="9.36328125" style="27" bestFit="1" customWidth="1"/>
    <col min="12805" max="12805" width="20" style="27" bestFit="1" customWidth="1"/>
    <col min="12806" max="12806" width="13.6328125" style="27" bestFit="1" customWidth="1"/>
    <col min="12807" max="12807" width="16.1796875" style="27" bestFit="1" customWidth="1"/>
    <col min="12808" max="12808" width="12.1796875" style="27" bestFit="1" customWidth="1"/>
    <col min="12809" max="12809" width="10.6328125" style="27" bestFit="1" customWidth="1"/>
    <col min="12810" max="12810" width="12.81640625" style="27" bestFit="1" customWidth="1"/>
    <col min="12811" max="12811" width="10.6328125" style="27" bestFit="1" customWidth="1"/>
    <col min="12812" max="12812" width="12.81640625" style="27" bestFit="1" customWidth="1"/>
    <col min="12813" max="12813" width="8.81640625" style="27" bestFit="1" customWidth="1"/>
    <col min="12814" max="13054" width="8.81640625" style="27"/>
    <col min="13055" max="13055" width="29.453125" style="27" customWidth="1"/>
    <col min="13056" max="13056" width="22.81640625" style="27" customWidth="1"/>
    <col min="13057" max="13057" width="14.36328125" style="27" customWidth="1"/>
    <col min="13058" max="13058" width="21" style="27" customWidth="1"/>
    <col min="13059" max="13059" width="8.36328125" style="27" bestFit="1" customWidth="1"/>
    <col min="13060" max="13060" width="9.36328125" style="27" bestFit="1" customWidth="1"/>
    <col min="13061" max="13061" width="20" style="27" bestFit="1" customWidth="1"/>
    <col min="13062" max="13062" width="13.6328125" style="27" bestFit="1" customWidth="1"/>
    <col min="13063" max="13063" width="16.1796875" style="27" bestFit="1" customWidth="1"/>
    <col min="13064" max="13064" width="12.1796875" style="27" bestFit="1" customWidth="1"/>
    <col min="13065" max="13065" width="10.6328125" style="27" bestFit="1" customWidth="1"/>
    <col min="13066" max="13066" width="12.81640625" style="27" bestFit="1" customWidth="1"/>
    <col min="13067" max="13067" width="10.6328125" style="27" bestFit="1" customWidth="1"/>
    <col min="13068" max="13068" width="12.81640625" style="27" bestFit="1" customWidth="1"/>
    <col min="13069" max="13069" width="8.81640625" style="27" bestFit="1" customWidth="1"/>
    <col min="13070" max="13310" width="8.81640625" style="27"/>
    <col min="13311" max="13311" width="29.453125" style="27" customWidth="1"/>
    <col min="13312" max="13312" width="22.81640625" style="27" customWidth="1"/>
    <col min="13313" max="13313" width="14.36328125" style="27" customWidth="1"/>
    <col min="13314" max="13314" width="21" style="27" customWidth="1"/>
    <col min="13315" max="13315" width="8.36328125" style="27" bestFit="1" customWidth="1"/>
    <col min="13316" max="13316" width="9.36328125" style="27" bestFit="1" customWidth="1"/>
    <col min="13317" max="13317" width="20" style="27" bestFit="1" customWidth="1"/>
    <col min="13318" max="13318" width="13.6328125" style="27" bestFit="1" customWidth="1"/>
    <col min="13319" max="13319" width="16.1796875" style="27" bestFit="1" customWidth="1"/>
    <col min="13320" max="13320" width="12.1796875" style="27" bestFit="1" customWidth="1"/>
    <col min="13321" max="13321" width="10.6328125" style="27" bestFit="1" customWidth="1"/>
    <col min="13322" max="13322" width="12.81640625" style="27" bestFit="1" customWidth="1"/>
    <col min="13323" max="13323" width="10.6328125" style="27" bestFit="1" customWidth="1"/>
    <col min="13324" max="13324" width="12.81640625" style="27" bestFit="1" customWidth="1"/>
    <col min="13325" max="13325" width="8.81640625" style="27" bestFit="1" customWidth="1"/>
    <col min="13326" max="13566" width="8.81640625" style="27"/>
    <col min="13567" max="13567" width="29.453125" style="27" customWidth="1"/>
    <col min="13568" max="13568" width="22.81640625" style="27" customWidth="1"/>
    <col min="13569" max="13569" width="14.36328125" style="27" customWidth="1"/>
    <col min="13570" max="13570" width="21" style="27" customWidth="1"/>
    <col min="13571" max="13571" width="8.36328125" style="27" bestFit="1" customWidth="1"/>
    <col min="13572" max="13572" width="9.36328125" style="27" bestFit="1" customWidth="1"/>
    <col min="13573" max="13573" width="20" style="27" bestFit="1" customWidth="1"/>
    <col min="13574" max="13574" width="13.6328125" style="27" bestFit="1" customWidth="1"/>
    <col min="13575" max="13575" width="16.1796875" style="27" bestFit="1" customWidth="1"/>
    <col min="13576" max="13576" width="12.1796875" style="27" bestFit="1" customWidth="1"/>
    <col min="13577" max="13577" width="10.6328125" style="27" bestFit="1" customWidth="1"/>
    <col min="13578" max="13578" width="12.81640625" style="27" bestFit="1" customWidth="1"/>
    <col min="13579" max="13579" width="10.6328125" style="27" bestFit="1" customWidth="1"/>
    <col min="13580" max="13580" width="12.81640625" style="27" bestFit="1" customWidth="1"/>
    <col min="13581" max="13581" width="8.81640625" style="27" bestFit="1" customWidth="1"/>
    <col min="13582" max="13822" width="8.81640625" style="27"/>
    <col min="13823" max="13823" width="29.453125" style="27" customWidth="1"/>
    <col min="13824" max="13824" width="22.81640625" style="27" customWidth="1"/>
    <col min="13825" max="13825" width="14.36328125" style="27" customWidth="1"/>
    <col min="13826" max="13826" width="21" style="27" customWidth="1"/>
    <col min="13827" max="13827" width="8.36328125" style="27" bestFit="1" customWidth="1"/>
    <col min="13828" max="13828" width="9.36328125" style="27" bestFit="1" customWidth="1"/>
    <col min="13829" max="13829" width="20" style="27" bestFit="1" customWidth="1"/>
    <col min="13830" max="13830" width="13.6328125" style="27" bestFit="1" customWidth="1"/>
    <col min="13831" max="13831" width="16.1796875" style="27" bestFit="1" customWidth="1"/>
    <col min="13832" max="13832" width="12.1796875" style="27" bestFit="1" customWidth="1"/>
    <col min="13833" max="13833" width="10.6328125" style="27" bestFit="1" customWidth="1"/>
    <col min="13834" max="13834" width="12.81640625" style="27" bestFit="1" customWidth="1"/>
    <col min="13835" max="13835" width="10.6328125" style="27" bestFit="1" customWidth="1"/>
    <col min="13836" max="13836" width="12.81640625" style="27" bestFit="1" customWidth="1"/>
    <col min="13837" max="13837" width="8.81640625" style="27" bestFit="1" customWidth="1"/>
    <col min="13838" max="14078" width="8.81640625" style="27"/>
    <col min="14079" max="14079" width="29.453125" style="27" customWidth="1"/>
    <col min="14080" max="14080" width="22.81640625" style="27" customWidth="1"/>
    <col min="14081" max="14081" width="14.36328125" style="27" customWidth="1"/>
    <col min="14082" max="14082" width="21" style="27" customWidth="1"/>
    <col min="14083" max="14083" width="8.36328125" style="27" bestFit="1" customWidth="1"/>
    <col min="14084" max="14084" width="9.36328125" style="27" bestFit="1" customWidth="1"/>
    <col min="14085" max="14085" width="20" style="27" bestFit="1" customWidth="1"/>
    <col min="14086" max="14086" width="13.6328125" style="27" bestFit="1" customWidth="1"/>
    <col min="14087" max="14087" width="16.1796875" style="27" bestFit="1" customWidth="1"/>
    <col min="14088" max="14088" width="12.1796875" style="27" bestFit="1" customWidth="1"/>
    <col min="14089" max="14089" width="10.6328125" style="27" bestFit="1" customWidth="1"/>
    <col min="14090" max="14090" width="12.81640625" style="27" bestFit="1" customWidth="1"/>
    <col min="14091" max="14091" width="10.6328125" style="27" bestFit="1" customWidth="1"/>
    <col min="14092" max="14092" width="12.81640625" style="27" bestFit="1" customWidth="1"/>
    <col min="14093" max="14093" width="8.81640625" style="27" bestFit="1" customWidth="1"/>
    <col min="14094" max="14334" width="8.81640625" style="27"/>
    <col min="14335" max="14335" width="29.453125" style="27" customWidth="1"/>
    <col min="14336" max="14336" width="22.81640625" style="27" customWidth="1"/>
    <col min="14337" max="14337" width="14.36328125" style="27" customWidth="1"/>
    <col min="14338" max="14338" width="21" style="27" customWidth="1"/>
    <col min="14339" max="14339" width="8.36328125" style="27" bestFit="1" customWidth="1"/>
    <col min="14340" max="14340" width="9.36328125" style="27" bestFit="1" customWidth="1"/>
    <col min="14341" max="14341" width="20" style="27" bestFit="1" customWidth="1"/>
    <col min="14342" max="14342" width="13.6328125" style="27" bestFit="1" customWidth="1"/>
    <col min="14343" max="14343" width="16.1796875" style="27" bestFit="1" customWidth="1"/>
    <col min="14344" max="14344" width="12.1796875" style="27" bestFit="1" customWidth="1"/>
    <col min="14345" max="14345" width="10.6328125" style="27" bestFit="1" customWidth="1"/>
    <col min="14346" max="14346" width="12.81640625" style="27" bestFit="1" customWidth="1"/>
    <col min="14347" max="14347" width="10.6328125" style="27" bestFit="1" customWidth="1"/>
    <col min="14348" max="14348" width="12.81640625" style="27" bestFit="1" customWidth="1"/>
    <col min="14349" max="14349" width="8.81640625" style="27" bestFit="1" customWidth="1"/>
    <col min="14350" max="14590" width="8.81640625" style="27"/>
    <col min="14591" max="14591" width="29.453125" style="27" customWidth="1"/>
    <col min="14592" max="14592" width="22.81640625" style="27" customWidth="1"/>
    <col min="14593" max="14593" width="14.36328125" style="27" customWidth="1"/>
    <col min="14594" max="14594" width="21" style="27" customWidth="1"/>
    <col min="14595" max="14595" width="8.36328125" style="27" bestFit="1" customWidth="1"/>
    <col min="14596" max="14596" width="9.36328125" style="27" bestFit="1" customWidth="1"/>
    <col min="14597" max="14597" width="20" style="27" bestFit="1" customWidth="1"/>
    <col min="14598" max="14598" width="13.6328125" style="27" bestFit="1" customWidth="1"/>
    <col min="14599" max="14599" width="16.1796875" style="27" bestFit="1" customWidth="1"/>
    <col min="14600" max="14600" width="12.1796875" style="27" bestFit="1" customWidth="1"/>
    <col min="14601" max="14601" width="10.6328125" style="27" bestFit="1" customWidth="1"/>
    <col min="14602" max="14602" width="12.81640625" style="27" bestFit="1" customWidth="1"/>
    <col min="14603" max="14603" width="10.6328125" style="27" bestFit="1" customWidth="1"/>
    <col min="14604" max="14604" width="12.81640625" style="27" bestFit="1" customWidth="1"/>
    <col min="14605" max="14605" width="8.81640625" style="27" bestFit="1" customWidth="1"/>
    <col min="14606" max="14846" width="8.81640625" style="27"/>
    <col min="14847" max="14847" width="29.453125" style="27" customWidth="1"/>
    <col min="14848" max="14848" width="22.81640625" style="27" customWidth="1"/>
    <col min="14849" max="14849" width="14.36328125" style="27" customWidth="1"/>
    <col min="14850" max="14850" width="21" style="27" customWidth="1"/>
    <col min="14851" max="14851" width="8.36328125" style="27" bestFit="1" customWidth="1"/>
    <col min="14852" max="14852" width="9.36328125" style="27" bestFit="1" customWidth="1"/>
    <col min="14853" max="14853" width="20" style="27" bestFit="1" customWidth="1"/>
    <col min="14854" max="14854" width="13.6328125" style="27" bestFit="1" customWidth="1"/>
    <col min="14855" max="14855" width="16.1796875" style="27" bestFit="1" customWidth="1"/>
    <col min="14856" max="14856" width="12.1796875" style="27" bestFit="1" customWidth="1"/>
    <col min="14857" max="14857" width="10.6328125" style="27" bestFit="1" customWidth="1"/>
    <col min="14858" max="14858" width="12.81640625" style="27" bestFit="1" customWidth="1"/>
    <col min="14859" max="14859" width="10.6328125" style="27" bestFit="1" customWidth="1"/>
    <col min="14860" max="14860" width="12.81640625" style="27" bestFit="1" customWidth="1"/>
    <col min="14861" max="14861" width="8.81640625" style="27" bestFit="1" customWidth="1"/>
    <col min="14862" max="15102" width="8.81640625" style="27"/>
    <col min="15103" max="15103" width="29.453125" style="27" customWidth="1"/>
    <col min="15104" max="15104" width="22.81640625" style="27" customWidth="1"/>
    <col min="15105" max="15105" width="14.36328125" style="27" customWidth="1"/>
    <col min="15106" max="15106" width="21" style="27" customWidth="1"/>
    <col min="15107" max="15107" width="8.36328125" style="27" bestFit="1" customWidth="1"/>
    <col min="15108" max="15108" width="9.36328125" style="27" bestFit="1" customWidth="1"/>
    <col min="15109" max="15109" width="20" style="27" bestFit="1" customWidth="1"/>
    <col min="15110" max="15110" width="13.6328125" style="27" bestFit="1" customWidth="1"/>
    <col min="15111" max="15111" width="16.1796875" style="27" bestFit="1" customWidth="1"/>
    <col min="15112" max="15112" width="12.1796875" style="27" bestFit="1" customWidth="1"/>
    <col min="15113" max="15113" width="10.6328125" style="27" bestFit="1" customWidth="1"/>
    <col min="15114" max="15114" width="12.81640625" style="27" bestFit="1" customWidth="1"/>
    <col min="15115" max="15115" width="10.6328125" style="27" bestFit="1" customWidth="1"/>
    <col min="15116" max="15116" width="12.81640625" style="27" bestFit="1" customWidth="1"/>
    <col min="15117" max="15117" width="8.81640625" style="27" bestFit="1" customWidth="1"/>
    <col min="15118" max="15358" width="8.81640625" style="27"/>
    <col min="15359" max="15359" width="29.453125" style="27" customWidth="1"/>
    <col min="15360" max="15360" width="22.81640625" style="27" customWidth="1"/>
    <col min="15361" max="15361" width="14.36328125" style="27" customWidth="1"/>
    <col min="15362" max="15362" width="21" style="27" customWidth="1"/>
    <col min="15363" max="15363" width="8.36328125" style="27" bestFit="1" customWidth="1"/>
    <col min="15364" max="15364" width="9.36328125" style="27" bestFit="1" customWidth="1"/>
    <col min="15365" max="15365" width="20" style="27" bestFit="1" customWidth="1"/>
    <col min="15366" max="15366" width="13.6328125" style="27" bestFit="1" customWidth="1"/>
    <col min="15367" max="15367" width="16.1796875" style="27" bestFit="1" customWidth="1"/>
    <col min="15368" max="15368" width="12.1796875" style="27" bestFit="1" customWidth="1"/>
    <col min="15369" max="15369" width="10.6328125" style="27" bestFit="1" customWidth="1"/>
    <col min="15370" max="15370" width="12.81640625" style="27" bestFit="1" customWidth="1"/>
    <col min="15371" max="15371" width="10.6328125" style="27" bestFit="1" customWidth="1"/>
    <col min="15372" max="15372" width="12.81640625" style="27" bestFit="1" customWidth="1"/>
    <col min="15373" max="15373" width="8.81640625" style="27" bestFit="1" customWidth="1"/>
    <col min="15374" max="15614" width="8.81640625" style="27"/>
    <col min="15615" max="15615" width="29.453125" style="27" customWidth="1"/>
    <col min="15616" max="15616" width="22.81640625" style="27" customWidth="1"/>
    <col min="15617" max="15617" width="14.36328125" style="27" customWidth="1"/>
    <col min="15618" max="15618" width="21" style="27" customWidth="1"/>
    <col min="15619" max="15619" width="8.36328125" style="27" bestFit="1" customWidth="1"/>
    <col min="15620" max="15620" width="9.36328125" style="27" bestFit="1" customWidth="1"/>
    <col min="15621" max="15621" width="20" style="27" bestFit="1" customWidth="1"/>
    <col min="15622" max="15622" width="13.6328125" style="27" bestFit="1" customWidth="1"/>
    <col min="15623" max="15623" width="16.1796875" style="27" bestFit="1" customWidth="1"/>
    <col min="15624" max="15624" width="12.1796875" style="27" bestFit="1" customWidth="1"/>
    <col min="15625" max="15625" width="10.6328125" style="27" bestFit="1" customWidth="1"/>
    <col min="15626" max="15626" width="12.81640625" style="27" bestFit="1" customWidth="1"/>
    <col min="15627" max="15627" width="10.6328125" style="27" bestFit="1" customWidth="1"/>
    <col min="15628" max="15628" width="12.81640625" style="27" bestFit="1" customWidth="1"/>
    <col min="15629" max="15629" width="8.81640625" style="27" bestFit="1" customWidth="1"/>
    <col min="15630" max="15870" width="8.81640625" style="27"/>
    <col min="15871" max="15871" width="29.453125" style="27" customWidth="1"/>
    <col min="15872" max="15872" width="22.81640625" style="27" customWidth="1"/>
    <col min="15873" max="15873" width="14.36328125" style="27" customWidth="1"/>
    <col min="15874" max="15874" width="21" style="27" customWidth="1"/>
    <col min="15875" max="15875" width="8.36328125" style="27" bestFit="1" customWidth="1"/>
    <col min="15876" max="15876" width="9.36328125" style="27" bestFit="1" customWidth="1"/>
    <col min="15877" max="15877" width="20" style="27" bestFit="1" customWidth="1"/>
    <col min="15878" max="15878" width="13.6328125" style="27" bestFit="1" customWidth="1"/>
    <col min="15879" max="15879" width="16.1796875" style="27" bestFit="1" customWidth="1"/>
    <col min="15880" max="15880" width="12.1796875" style="27" bestFit="1" customWidth="1"/>
    <col min="15881" max="15881" width="10.6328125" style="27" bestFit="1" customWidth="1"/>
    <col min="15882" max="15882" width="12.81640625" style="27" bestFit="1" customWidth="1"/>
    <col min="15883" max="15883" width="10.6328125" style="27" bestFit="1" customWidth="1"/>
    <col min="15884" max="15884" width="12.81640625" style="27" bestFit="1" customWidth="1"/>
    <col min="15885" max="15885" width="8.81640625" style="27" bestFit="1" customWidth="1"/>
    <col min="15886" max="16126" width="8.81640625" style="27"/>
    <col min="16127" max="16127" width="29.453125" style="27" customWidth="1"/>
    <col min="16128" max="16128" width="22.81640625" style="27" customWidth="1"/>
    <col min="16129" max="16129" width="14.36328125" style="27" customWidth="1"/>
    <col min="16130" max="16130" width="21" style="27" customWidth="1"/>
    <col min="16131" max="16131" width="8.36328125" style="27" bestFit="1" customWidth="1"/>
    <col min="16132" max="16132" width="9.36328125" style="27" bestFit="1" customWidth="1"/>
    <col min="16133" max="16133" width="20" style="27" bestFit="1" customWidth="1"/>
    <col min="16134" max="16134" width="13.6328125" style="27" bestFit="1" customWidth="1"/>
    <col min="16135" max="16135" width="16.1796875" style="27" bestFit="1" customWidth="1"/>
    <col min="16136" max="16136" width="12.1796875" style="27" bestFit="1" customWidth="1"/>
    <col min="16137" max="16137" width="10.6328125" style="27" bestFit="1" customWidth="1"/>
    <col min="16138" max="16138" width="12.81640625" style="27" bestFit="1" customWidth="1"/>
    <col min="16139" max="16139" width="10.6328125" style="27" bestFit="1" customWidth="1"/>
    <col min="16140" max="16140" width="12.81640625" style="27" bestFit="1" customWidth="1"/>
    <col min="16141" max="16141" width="8.81640625" style="27" bestFit="1" customWidth="1"/>
    <col min="16142" max="16384" width="8.81640625" style="27"/>
  </cols>
  <sheetData>
    <row r="1" spans="1:21" x14ac:dyDescent="0.5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62"/>
      <c r="P1" s="61"/>
      <c r="Q1" s="60"/>
      <c r="R1" s="60"/>
      <c r="S1" s="59"/>
      <c r="T1" s="58"/>
      <c r="U1" s="57"/>
    </row>
    <row r="2" spans="1:21" x14ac:dyDescent="0.5">
      <c r="A2" s="42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62"/>
      <c r="P2" s="61"/>
      <c r="Q2" s="60"/>
      <c r="R2" s="60"/>
      <c r="S2" s="59"/>
      <c r="T2" s="58"/>
      <c r="U2" s="57"/>
    </row>
    <row r="3" spans="1:21" ht="31" x14ac:dyDescent="0.7">
      <c r="A3" s="70" t="s">
        <v>94</v>
      </c>
      <c r="B3" s="42"/>
      <c r="C3" s="42"/>
      <c r="D3" s="63"/>
      <c r="E3" s="42"/>
      <c r="F3" s="42"/>
      <c r="G3" s="42"/>
      <c r="H3" s="42"/>
      <c r="I3" s="42"/>
      <c r="J3" s="42"/>
      <c r="K3" s="42"/>
      <c r="L3" s="42"/>
      <c r="M3" s="42"/>
      <c r="N3" s="42"/>
      <c r="O3" s="62"/>
      <c r="P3" s="61"/>
      <c r="Q3" s="60"/>
      <c r="R3" s="60"/>
      <c r="S3" s="59"/>
      <c r="T3" s="58"/>
      <c r="U3" s="57"/>
    </row>
    <row r="4" spans="1:21" x14ac:dyDescent="0.5">
      <c r="A4" s="213" t="s">
        <v>25</v>
      </c>
    </row>
    <row r="5" spans="1:21" ht="60.75" customHeight="1" x14ac:dyDescent="0.5">
      <c r="A5" s="51" t="s">
        <v>65</v>
      </c>
      <c r="B5" s="50" t="s">
        <v>64</v>
      </c>
      <c r="C5" s="49" t="s">
        <v>63</v>
      </c>
      <c r="D5" s="49" t="s">
        <v>62</v>
      </c>
      <c r="E5" s="49" t="s">
        <v>61</v>
      </c>
      <c r="F5" s="49" t="s">
        <v>60</v>
      </c>
      <c r="G5" s="49" t="s">
        <v>58</v>
      </c>
      <c r="H5" s="48" t="s">
        <v>57</v>
      </c>
      <c r="M5" s="30"/>
      <c r="N5" s="30"/>
      <c r="O5" s="31"/>
      <c r="P5" s="31"/>
      <c r="Q5" s="31"/>
      <c r="R5" s="31"/>
      <c r="S5" s="31"/>
      <c r="T5" s="31"/>
      <c r="U5" s="31"/>
    </row>
    <row r="6" spans="1:21" x14ac:dyDescent="0.5">
      <c r="A6" s="47" t="s">
        <v>72</v>
      </c>
      <c r="B6" s="46" t="s">
        <v>55</v>
      </c>
      <c r="C6" s="45">
        <v>6</v>
      </c>
      <c r="D6" s="45">
        <v>23</v>
      </c>
      <c r="E6" s="45">
        <v>6</v>
      </c>
      <c r="F6" s="45">
        <v>0</v>
      </c>
      <c r="G6" s="44">
        <f>D6/C6</f>
        <v>3.8333333333333335</v>
      </c>
      <c r="H6" s="44" t="s">
        <v>54</v>
      </c>
      <c r="M6" s="30"/>
      <c r="N6" s="30"/>
      <c r="O6" s="31"/>
      <c r="P6" s="31"/>
      <c r="Q6" s="31"/>
      <c r="R6" s="31"/>
      <c r="S6" s="31"/>
      <c r="T6" s="31"/>
      <c r="U6" s="31"/>
    </row>
    <row r="7" spans="1:21" ht="41.25" customHeight="1" x14ac:dyDescent="0.5">
      <c r="A7" s="43" t="s">
        <v>53</v>
      </c>
      <c r="B7" s="475" t="s">
        <v>52</v>
      </c>
      <c r="C7" s="476"/>
      <c r="D7" s="476"/>
      <c r="E7" s="476"/>
      <c r="F7" s="477"/>
      <c r="G7" s="478" t="s">
        <v>51</v>
      </c>
      <c r="H7" s="479"/>
      <c r="I7" s="479"/>
      <c r="J7" s="480"/>
      <c r="M7" s="30"/>
      <c r="N7" s="30"/>
      <c r="O7" s="31"/>
      <c r="P7" s="31"/>
      <c r="Q7" s="31"/>
      <c r="R7" s="31"/>
      <c r="S7" s="31"/>
      <c r="T7" s="31"/>
      <c r="U7" s="31"/>
    </row>
    <row r="8" spans="1:21" ht="21.75" customHeight="1" x14ac:dyDescent="0.5">
      <c r="A8" s="41"/>
      <c r="B8" s="481"/>
      <c r="C8" s="476"/>
      <c r="D8" s="476"/>
      <c r="E8" s="476"/>
      <c r="F8" s="477"/>
      <c r="G8" s="482" t="s">
        <v>50</v>
      </c>
      <c r="H8" s="484"/>
      <c r="I8" s="482" t="s">
        <v>49</v>
      </c>
      <c r="J8" s="483"/>
      <c r="K8" s="42"/>
      <c r="M8" s="29"/>
      <c r="N8" s="29"/>
      <c r="O8" s="31"/>
      <c r="P8" s="31"/>
      <c r="Q8" s="31"/>
      <c r="R8" s="31"/>
      <c r="S8" s="31"/>
      <c r="T8" s="38"/>
      <c r="U8" s="31"/>
    </row>
    <row r="9" spans="1:21" ht="87.75" customHeight="1" x14ac:dyDescent="0.5">
      <c r="A9" s="41" t="s">
        <v>48</v>
      </c>
      <c r="B9" s="49" t="s">
        <v>47</v>
      </c>
      <c r="C9" s="49" t="s">
        <v>46</v>
      </c>
      <c r="D9" s="49" t="s">
        <v>45</v>
      </c>
      <c r="E9" s="49" t="s">
        <v>44</v>
      </c>
      <c r="F9" s="49" t="s">
        <v>43</v>
      </c>
      <c r="G9" s="69" t="s">
        <v>42</v>
      </c>
      <c r="H9" s="69" t="s">
        <v>41</v>
      </c>
      <c r="I9" s="69" t="s">
        <v>42</v>
      </c>
      <c r="J9" s="49" t="s">
        <v>41</v>
      </c>
      <c r="K9" s="42"/>
      <c r="L9" s="42"/>
      <c r="M9" s="42"/>
      <c r="R9" s="31"/>
      <c r="S9" s="38"/>
      <c r="T9" s="31"/>
    </row>
    <row r="10" spans="1:21" ht="27.75" customHeight="1" x14ac:dyDescent="0.5">
      <c r="A10" s="216" t="s">
        <v>93</v>
      </c>
      <c r="B10" s="68">
        <v>0.5</v>
      </c>
      <c r="C10" s="68">
        <v>0.35</v>
      </c>
      <c r="D10" s="68">
        <v>0.4</v>
      </c>
      <c r="E10" s="53">
        <v>15</v>
      </c>
      <c r="F10" s="36">
        <v>0.3</v>
      </c>
      <c r="G10" s="36" t="s">
        <v>92</v>
      </c>
      <c r="H10" s="36" t="s">
        <v>91</v>
      </c>
      <c r="I10" s="37">
        <v>28</v>
      </c>
      <c r="J10" s="44">
        <v>0.9</v>
      </c>
      <c r="K10" s="42"/>
      <c r="L10" s="42"/>
      <c r="M10" s="42"/>
      <c r="R10" s="31"/>
      <c r="S10" s="31"/>
      <c r="T10" s="31"/>
    </row>
    <row r="11" spans="1:21" x14ac:dyDescent="0.5">
      <c r="A11" s="42"/>
      <c r="B11" s="42"/>
      <c r="C11" s="42"/>
      <c r="D11" s="63"/>
      <c r="E11" s="42"/>
      <c r="F11" s="42"/>
      <c r="G11" s="42"/>
      <c r="H11" s="42"/>
      <c r="I11" s="42"/>
      <c r="J11" s="42"/>
      <c r="K11" s="42"/>
      <c r="L11" s="42"/>
      <c r="M11" s="42"/>
      <c r="R11" s="31"/>
      <c r="S11" s="31"/>
      <c r="T11" s="31"/>
    </row>
    <row r="12" spans="1:21" ht="27" customHeight="1" x14ac:dyDescent="0.5">
      <c r="A12" s="42"/>
      <c r="B12" s="42"/>
      <c r="G12" s="67"/>
      <c r="H12" s="67"/>
      <c r="I12" s="42"/>
      <c r="J12" s="42"/>
      <c r="K12" s="42"/>
      <c r="L12" s="42"/>
      <c r="M12" s="42"/>
      <c r="R12" s="31"/>
      <c r="S12" s="31"/>
      <c r="T12" s="31"/>
    </row>
    <row r="13" spans="1:21" ht="69.75" customHeight="1" x14ac:dyDescent="0.5">
      <c r="A13" s="42"/>
      <c r="B13" s="42"/>
      <c r="G13" s="66"/>
      <c r="H13" s="66"/>
      <c r="I13" s="42"/>
      <c r="J13" s="42"/>
      <c r="K13" s="42"/>
      <c r="L13" s="42"/>
      <c r="M13" s="42"/>
      <c r="R13" s="35"/>
      <c r="S13" s="35"/>
      <c r="T13" s="35"/>
    </row>
    <row r="14" spans="1:21" x14ac:dyDescent="0.5">
      <c r="A14" s="42"/>
      <c r="B14" s="42"/>
      <c r="G14" s="65"/>
      <c r="H14" s="65"/>
      <c r="I14" s="42"/>
      <c r="J14" s="42"/>
      <c r="K14" s="42"/>
      <c r="L14" s="42"/>
      <c r="M14" s="42"/>
      <c r="R14" s="31"/>
      <c r="S14" s="31"/>
      <c r="T14" s="31"/>
    </row>
    <row r="15" spans="1:21" x14ac:dyDescent="0.5">
      <c r="A15" s="64"/>
      <c r="B15" s="64"/>
      <c r="G15" s="65"/>
      <c r="H15" s="65"/>
      <c r="I15" s="64"/>
      <c r="J15" s="64"/>
      <c r="K15" s="64"/>
      <c r="L15" s="64"/>
      <c r="M15" s="64"/>
      <c r="N15" s="64"/>
    </row>
    <row r="16" spans="1:21" x14ac:dyDescent="0.5">
      <c r="A16" s="42"/>
      <c r="B16" s="42"/>
      <c r="C16" s="42"/>
      <c r="D16" s="63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62"/>
      <c r="P16" s="61"/>
      <c r="Q16" s="60"/>
      <c r="R16" s="60"/>
      <c r="S16" s="59"/>
      <c r="T16" s="58"/>
      <c r="U16" s="57"/>
    </row>
    <row r="17" spans="1:21" x14ac:dyDescent="0.5">
      <c r="A17" s="214" t="s">
        <v>26</v>
      </c>
      <c r="B17" s="42"/>
      <c r="C17" s="42"/>
      <c r="D17" s="63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62"/>
      <c r="P17" s="61"/>
      <c r="Q17" s="60"/>
      <c r="R17" s="60"/>
      <c r="S17" s="59"/>
      <c r="T17" s="58"/>
      <c r="U17" s="57"/>
    </row>
    <row r="18" spans="1:21" ht="63" x14ac:dyDescent="0.5">
      <c r="A18" s="51" t="s">
        <v>65</v>
      </c>
      <c r="B18" s="50" t="s">
        <v>64</v>
      </c>
      <c r="C18" s="49" t="s">
        <v>63</v>
      </c>
      <c r="D18" s="49" t="s">
        <v>62</v>
      </c>
      <c r="E18" s="49" t="s">
        <v>61</v>
      </c>
      <c r="F18" s="49" t="s">
        <v>60</v>
      </c>
      <c r="G18" s="49" t="s">
        <v>58</v>
      </c>
      <c r="H18" s="48" t="s">
        <v>57</v>
      </c>
      <c r="M18" s="30"/>
      <c r="N18" s="42"/>
      <c r="O18" s="62"/>
      <c r="P18" s="61"/>
      <c r="Q18" s="60"/>
      <c r="R18" s="60"/>
      <c r="S18" s="59"/>
      <c r="T18" s="58"/>
      <c r="U18" s="57"/>
    </row>
    <row r="19" spans="1:21" x14ac:dyDescent="0.5">
      <c r="A19" s="47" t="s">
        <v>72</v>
      </c>
      <c r="B19" s="46" t="s">
        <v>55</v>
      </c>
      <c r="C19" s="45">
        <v>7</v>
      </c>
      <c r="D19" s="45">
        <v>23</v>
      </c>
      <c r="E19" s="45">
        <v>6</v>
      </c>
      <c r="F19" s="45">
        <v>0</v>
      </c>
      <c r="G19" s="44">
        <f>D19/C19</f>
        <v>3.2857142857142856</v>
      </c>
      <c r="H19" s="44" t="s">
        <v>54</v>
      </c>
      <c r="M19" s="30"/>
      <c r="N19" s="42"/>
      <c r="O19" s="62"/>
      <c r="P19" s="61"/>
      <c r="Q19" s="60"/>
      <c r="R19" s="60"/>
      <c r="S19" s="59"/>
      <c r="T19" s="58"/>
      <c r="U19" s="57"/>
    </row>
    <row r="20" spans="1:21" ht="42" x14ac:dyDescent="0.5">
      <c r="A20" s="43" t="s">
        <v>53</v>
      </c>
      <c r="B20" s="475" t="s">
        <v>52</v>
      </c>
      <c r="C20" s="476"/>
      <c r="D20" s="476"/>
      <c r="E20" s="476"/>
      <c r="F20" s="477"/>
      <c r="G20" s="478" t="s">
        <v>51</v>
      </c>
      <c r="H20" s="479"/>
      <c r="I20" s="479"/>
      <c r="J20" s="480"/>
      <c r="M20" s="30"/>
      <c r="N20" s="42"/>
      <c r="O20" s="62"/>
      <c r="P20" s="61"/>
      <c r="Q20" s="60"/>
      <c r="R20" s="60"/>
      <c r="S20" s="59"/>
      <c r="T20" s="58"/>
      <c r="U20" s="57"/>
    </row>
    <row r="21" spans="1:21" ht="21" customHeight="1" x14ac:dyDescent="0.5">
      <c r="A21" s="41"/>
      <c r="B21" s="481"/>
      <c r="C21" s="476"/>
      <c r="D21" s="476"/>
      <c r="E21" s="476"/>
      <c r="F21" s="477"/>
      <c r="G21" s="482" t="s">
        <v>50</v>
      </c>
      <c r="H21" s="484"/>
      <c r="I21" s="482" t="s">
        <v>49</v>
      </c>
      <c r="J21" s="483"/>
      <c r="K21" s="42"/>
      <c r="M21" s="29"/>
      <c r="N21" s="42"/>
      <c r="O21" s="62"/>
      <c r="P21" s="61"/>
      <c r="Q21" s="60"/>
      <c r="R21" s="60"/>
      <c r="S21" s="59"/>
      <c r="T21" s="58"/>
      <c r="U21" s="57"/>
    </row>
    <row r="22" spans="1:21" ht="88.5" x14ac:dyDescent="0.65">
      <c r="A22" s="41" t="s">
        <v>48</v>
      </c>
      <c r="B22" s="39" t="s">
        <v>47</v>
      </c>
      <c r="C22" s="39" t="s">
        <v>46</v>
      </c>
      <c r="D22" s="39" t="s">
        <v>45</v>
      </c>
      <c r="E22" s="39" t="s">
        <v>44</v>
      </c>
      <c r="F22" s="39" t="s">
        <v>43</v>
      </c>
      <c r="G22" s="40" t="s">
        <v>42</v>
      </c>
      <c r="H22" s="40" t="s">
        <v>41</v>
      </c>
      <c r="I22" s="40" t="s">
        <v>42</v>
      </c>
      <c r="J22" s="39" t="s">
        <v>41</v>
      </c>
      <c r="K22" s="42"/>
      <c r="M22" s="29"/>
      <c r="N22" s="42"/>
      <c r="O22" s="62"/>
      <c r="P22" s="61"/>
      <c r="Q22" s="60"/>
      <c r="R22" s="60"/>
      <c r="S22" s="59"/>
      <c r="T22" s="58"/>
      <c r="U22" s="57"/>
    </row>
    <row r="23" spans="1:21" ht="28.5" customHeight="1" x14ac:dyDescent="0.5">
      <c r="A23" s="216" t="s">
        <v>90</v>
      </c>
      <c r="B23" s="36">
        <v>0.75</v>
      </c>
      <c r="C23" s="36">
        <v>0.4</v>
      </c>
      <c r="D23" s="36">
        <v>0.6</v>
      </c>
      <c r="E23" s="53">
        <v>15</v>
      </c>
      <c r="F23" s="36">
        <v>0.3</v>
      </c>
      <c r="G23" s="36" t="s">
        <v>89</v>
      </c>
      <c r="H23" s="36" t="s">
        <v>88</v>
      </c>
      <c r="I23" s="37">
        <v>23</v>
      </c>
      <c r="J23" s="44">
        <v>1.1000000000000001</v>
      </c>
      <c r="K23" s="42"/>
      <c r="M23" s="29"/>
      <c r="N23" s="42"/>
      <c r="O23" s="62"/>
      <c r="P23" s="61"/>
      <c r="Q23" s="60"/>
      <c r="R23" s="60"/>
      <c r="S23" s="59"/>
      <c r="T23" s="58"/>
      <c r="U23" s="57"/>
    </row>
    <row r="24" spans="1:21" x14ac:dyDescent="0.5">
      <c r="A24" s="42"/>
      <c r="B24" s="42"/>
      <c r="C24" s="42"/>
      <c r="D24" s="63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62"/>
      <c r="P24" s="61"/>
      <c r="Q24" s="60"/>
      <c r="R24" s="60"/>
      <c r="S24" s="59"/>
      <c r="T24" s="58"/>
      <c r="U24" s="57"/>
    </row>
    <row r="25" spans="1:21" x14ac:dyDescent="0.5">
      <c r="A25" s="42"/>
      <c r="B25" s="42"/>
      <c r="C25" s="42"/>
      <c r="D25" s="63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62"/>
      <c r="P25" s="61"/>
      <c r="Q25" s="60"/>
      <c r="R25" s="60"/>
      <c r="S25" s="59"/>
      <c r="T25" s="58"/>
      <c r="U25" s="57"/>
    </row>
    <row r="26" spans="1:21" x14ac:dyDescent="0.5">
      <c r="A26" s="42"/>
      <c r="B26" s="42"/>
      <c r="C26" s="42"/>
      <c r="D26" s="63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62"/>
      <c r="P26" s="61"/>
      <c r="Q26" s="60"/>
      <c r="R26" s="60"/>
      <c r="S26" s="59"/>
      <c r="T26" s="58"/>
      <c r="U26" s="57"/>
    </row>
    <row r="27" spans="1:21" x14ac:dyDescent="0.5">
      <c r="A27" s="42"/>
      <c r="B27" s="42"/>
      <c r="C27" s="42"/>
      <c r="D27" s="63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62"/>
      <c r="P27" s="61"/>
      <c r="Q27" s="60"/>
      <c r="R27" s="60"/>
      <c r="S27" s="59"/>
      <c r="T27" s="58"/>
      <c r="U27" s="57"/>
    </row>
    <row r="28" spans="1:21" x14ac:dyDescent="0.5">
      <c r="A28" s="42"/>
      <c r="B28" s="42"/>
      <c r="C28" s="42"/>
      <c r="D28" s="63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62"/>
      <c r="P28" s="61"/>
      <c r="Q28" s="60"/>
      <c r="R28" s="60"/>
      <c r="S28" s="59"/>
      <c r="T28" s="58"/>
      <c r="U28" s="57"/>
    </row>
    <row r="29" spans="1:21" x14ac:dyDescent="0.5">
      <c r="A29" s="42"/>
      <c r="B29" s="42"/>
      <c r="C29" s="42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62"/>
      <c r="P29" s="61"/>
      <c r="Q29" s="60"/>
      <c r="R29" s="60"/>
      <c r="S29" s="59"/>
      <c r="T29" s="58"/>
      <c r="U29" s="57"/>
    </row>
    <row r="30" spans="1:21" x14ac:dyDescent="0.5">
      <c r="A30" s="215" t="s">
        <v>27</v>
      </c>
      <c r="B30" s="57"/>
      <c r="C30" s="57"/>
      <c r="D30" s="57"/>
      <c r="E30" s="57"/>
      <c r="F30" s="57"/>
      <c r="G30" s="57"/>
      <c r="H30" s="57"/>
      <c r="I30" s="57"/>
      <c r="J30" s="42"/>
      <c r="K30" s="42"/>
      <c r="L30" s="42"/>
      <c r="M30" s="57"/>
      <c r="N30" s="57"/>
      <c r="O30" s="57"/>
      <c r="P30" s="57"/>
      <c r="Q30" s="57"/>
      <c r="R30" s="57"/>
      <c r="S30" s="57"/>
      <c r="T30" s="57"/>
      <c r="U30" s="57"/>
    </row>
    <row r="31" spans="1:21" ht="60.75" customHeight="1" x14ac:dyDescent="0.5">
      <c r="A31" s="51" t="s">
        <v>65</v>
      </c>
      <c r="B31" s="50" t="s">
        <v>64</v>
      </c>
      <c r="C31" s="49" t="s">
        <v>63</v>
      </c>
      <c r="D31" s="49" t="s">
        <v>62</v>
      </c>
      <c r="E31" s="49" t="s">
        <v>61</v>
      </c>
      <c r="F31" s="49" t="s">
        <v>60</v>
      </c>
      <c r="G31" s="49" t="s">
        <v>59</v>
      </c>
      <c r="H31" s="49" t="s">
        <v>58</v>
      </c>
      <c r="I31" s="48" t="s">
        <v>57</v>
      </c>
      <c r="M31" s="30"/>
      <c r="N31" s="30"/>
      <c r="O31" s="31"/>
      <c r="P31" s="31"/>
      <c r="Q31" s="31"/>
      <c r="R31" s="31"/>
      <c r="S31" s="31"/>
      <c r="T31" s="31"/>
      <c r="U31" s="31"/>
    </row>
    <row r="32" spans="1:21" x14ac:dyDescent="0.5">
      <c r="A32" s="47" t="s">
        <v>72</v>
      </c>
      <c r="B32" s="46" t="s">
        <v>55</v>
      </c>
      <c r="C32" s="45">
        <v>7</v>
      </c>
      <c r="D32" s="45">
        <v>24</v>
      </c>
      <c r="E32" s="45">
        <v>6</v>
      </c>
      <c r="F32" s="45">
        <v>0.14000000000000001</v>
      </c>
      <c r="G32" s="56" t="s">
        <v>79</v>
      </c>
      <c r="H32" s="44" t="s">
        <v>35</v>
      </c>
      <c r="I32" s="44" t="s">
        <v>54</v>
      </c>
      <c r="M32" s="30"/>
      <c r="N32" s="30"/>
      <c r="O32" s="31"/>
      <c r="P32" s="31"/>
      <c r="Q32" s="31"/>
      <c r="R32" s="31"/>
      <c r="S32" s="31"/>
      <c r="T32" s="31"/>
      <c r="U32" s="31"/>
    </row>
    <row r="33" spans="1:21" ht="42" x14ac:dyDescent="0.5">
      <c r="A33" s="43" t="s">
        <v>53</v>
      </c>
      <c r="B33" s="475" t="s">
        <v>52</v>
      </c>
      <c r="C33" s="476"/>
      <c r="D33" s="476"/>
      <c r="E33" s="476"/>
      <c r="F33" s="477"/>
      <c r="G33" s="478" t="s">
        <v>51</v>
      </c>
      <c r="H33" s="479"/>
      <c r="I33" s="479"/>
      <c r="J33" s="480"/>
      <c r="M33" s="30"/>
      <c r="N33" s="30"/>
      <c r="O33" s="31"/>
      <c r="P33" s="31"/>
      <c r="Q33" s="31"/>
      <c r="R33" s="31"/>
      <c r="S33" s="31"/>
      <c r="T33" s="31"/>
      <c r="U33" s="31"/>
    </row>
    <row r="34" spans="1:21" ht="21" customHeight="1" x14ac:dyDescent="0.5">
      <c r="A34" s="41"/>
      <c r="B34" s="481"/>
      <c r="C34" s="476"/>
      <c r="D34" s="476"/>
      <c r="E34" s="476"/>
      <c r="F34" s="477"/>
      <c r="G34" s="482" t="s">
        <v>50</v>
      </c>
      <c r="H34" s="484"/>
      <c r="I34" s="482" t="s">
        <v>49</v>
      </c>
      <c r="J34" s="483"/>
      <c r="K34" s="42"/>
      <c r="L34" s="42"/>
      <c r="M34" s="30"/>
      <c r="N34" s="30"/>
      <c r="O34" s="31"/>
      <c r="P34" s="31"/>
      <c r="Q34" s="31"/>
      <c r="R34" s="31"/>
      <c r="S34" s="31"/>
      <c r="T34" s="38"/>
      <c r="U34" s="31"/>
    </row>
    <row r="35" spans="1:21" ht="88.5" x14ac:dyDescent="0.65">
      <c r="A35" s="41" t="s">
        <v>48</v>
      </c>
      <c r="B35" s="39" t="s">
        <v>47</v>
      </c>
      <c r="C35" s="39" t="s">
        <v>46</v>
      </c>
      <c r="D35" s="39" t="s">
        <v>45</v>
      </c>
      <c r="E35" s="39" t="s">
        <v>44</v>
      </c>
      <c r="F35" s="39" t="s">
        <v>43</v>
      </c>
      <c r="G35" s="40" t="s">
        <v>42</v>
      </c>
      <c r="H35" s="40" t="s">
        <v>41</v>
      </c>
      <c r="I35" s="40" t="s">
        <v>42</v>
      </c>
      <c r="J35" s="39" t="s">
        <v>41</v>
      </c>
      <c r="K35" s="42"/>
      <c r="L35" s="42"/>
      <c r="M35" s="30"/>
      <c r="N35" s="30"/>
      <c r="O35" s="31"/>
      <c r="P35" s="31"/>
      <c r="Q35" s="31"/>
      <c r="R35" s="31"/>
      <c r="S35" s="38"/>
      <c r="T35" s="31"/>
    </row>
    <row r="36" spans="1:21" ht="27.75" customHeight="1" x14ac:dyDescent="0.5">
      <c r="A36" s="216" t="s">
        <v>90</v>
      </c>
      <c r="B36" s="36">
        <v>0.75</v>
      </c>
      <c r="C36" s="36">
        <v>0.4</v>
      </c>
      <c r="D36" s="36">
        <v>0.6</v>
      </c>
      <c r="E36" s="53">
        <v>15</v>
      </c>
      <c r="F36" s="36">
        <v>0.3</v>
      </c>
      <c r="G36" s="36" t="s">
        <v>89</v>
      </c>
      <c r="H36" s="36" t="s">
        <v>88</v>
      </c>
      <c r="I36" s="37">
        <v>23</v>
      </c>
      <c r="J36" s="44">
        <v>1.1000000000000001</v>
      </c>
      <c r="K36" s="42"/>
      <c r="L36" s="42"/>
      <c r="M36" s="30"/>
      <c r="N36" s="30"/>
      <c r="O36" s="31"/>
      <c r="P36" s="31"/>
      <c r="Q36" s="31"/>
      <c r="R36" s="31"/>
      <c r="S36" s="31"/>
      <c r="T36" s="31"/>
    </row>
    <row r="37" spans="1:21" x14ac:dyDescent="0.5">
      <c r="M37" s="30"/>
      <c r="N37" s="30"/>
      <c r="O37" s="31"/>
      <c r="P37" s="31"/>
      <c r="Q37" s="31"/>
      <c r="R37" s="35"/>
      <c r="S37" s="35"/>
      <c r="T37" s="35"/>
    </row>
    <row r="38" spans="1:21" x14ac:dyDescent="0.5">
      <c r="M38" s="30"/>
      <c r="N38" s="30"/>
      <c r="O38" s="31"/>
      <c r="P38" s="31"/>
      <c r="Q38" s="31"/>
      <c r="R38" s="31"/>
      <c r="S38" s="31"/>
      <c r="T38" s="31"/>
    </row>
    <row r="39" spans="1:21" x14ac:dyDescent="0.5">
      <c r="M39" s="30"/>
      <c r="N39" s="30"/>
      <c r="O39" s="31"/>
      <c r="P39" s="31"/>
      <c r="Q39" s="31"/>
      <c r="R39" s="31"/>
      <c r="S39" s="31"/>
      <c r="T39" s="31"/>
    </row>
    <row r="40" spans="1:21" x14ac:dyDescent="0.5">
      <c r="M40" s="30"/>
      <c r="N40" s="30"/>
      <c r="O40" s="31"/>
      <c r="P40" s="31"/>
      <c r="Q40" s="31"/>
      <c r="R40" s="31"/>
      <c r="S40" s="31"/>
      <c r="T40" s="31"/>
    </row>
    <row r="41" spans="1:21" x14ac:dyDescent="0.5">
      <c r="M41" s="30"/>
      <c r="N41" s="30"/>
      <c r="O41" s="31"/>
      <c r="P41" s="31"/>
      <c r="Q41" s="31"/>
      <c r="R41" s="34"/>
      <c r="S41" s="34"/>
      <c r="T41" s="34"/>
    </row>
    <row r="42" spans="1:21" x14ac:dyDescent="0.5">
      <c r="M42" s="30"/>
      <c r="N42" s="30"/>
      <c r="O42" s="31"/>
      <c r="P42" s="31"/>
      <c r="Q42" s="31"/>
    </row>
    <row r="43" spans="1:21" x14ac:dyDescent="0.5">
      <c r="M43" s="30"/>
      <c r="N43" s="30"/>
      <c r="O43" s="31"/>
      <c r="P43" s="31"/>
      <c r="Q43" s="31"/>
    </row>
    <row r="44" spans="1:21" x14ac:dyDescent="0.5">
      <c r="A44" s="213" t="s">
        <v>28</v>
      </c>
      <c r="M44" s="30"/>
      <c r="N44" s="30"/>
      <c r="O44" s="31"/>
      <c r="P44" s="31"/>
      <c r="Q44" s="31"/>
    </row>
    <row r="45" spans="1:21" ht="60.75" customHeight="1" x14ac:dyDescent="0.5">
      <c r="A45" s="51" t="s">
        <v>65</v>
      </c>
      <c r="B45" s="50" t="s">
        <v>64</v>
      </c>
      <c r="C45" s="49" t="s">
        <v>63</v>
      </c>
      <c r="D45" s="49" t="s">
        <v>62</v>
      </c>
      <c r="E45" s="49" t="s">
        <v>61</v>
      </c>
      <c r="F45" s="49" t="s">
        <v>60</v>
      </c>
      <c r="G45" s="49" t="s">
        <v>59</v>
      </c>
      <c r="H45" s="49" t="s">
        <v>58</v>
      </c>
      <c r="I45" s="48" t="s">
        <v>57</v>
      </c>
      <c r="M45" s="30"/>
      <c r="N45" s="30"/>
      <c r="O45" s="31"/>
      <c r="P45" s="31"/>
      <c r="Q45" s="31"/>
      <c r="R45" s="31"/>
      <c r="S45" s="31"/>
      <c r="T45" s="31"/>
      <c r="U45" s="31"/>
    </row>
    <row r="46" spans="1:21" x14ac:dyDescent="0.5">
      <c r="A46" s="47" t="s">
        <v>72</v>
      </c>
      <c r="B46" s="46" t="s">
        <v>55</v>
      </c>
      <c r="C46" s="45">
        <v>6</v>
      </c>
      <c r="D46" s="45">
        <v>26</v>
      </c>
      <c r="E46" s="45">
        <v>7</v>
      </c>
      <c r="F46" s="45">
        <v>0.2</v>
      </c>
      <c r="G46" s="56" t="s">
        <v>79</v>
      </c>
      <c r="H46" s="44">
        <f>D46/C46</f>
        <v>4.333333333333333</v>
      </c>
      <c r="I46" s="44" t="s">
        <v>54</v>
      </c>
      <c r="M46" s="30"/>
      <c r="N46" s="30"/>
      <c r="O46" s="31"/>
      <c r="P46" s="31"/>
      <c r="Q46" s="31"/>
      <c r="R46" s="31"/>
      <c r="S46" s="31"/>
      <c r="T46" s="31"/>
      <c r="U46" s="31"/>
    </row>
    <row r="47" spans="1:21" ht="42" x14ac:dyDescent="0.5">
      <c r="A47" s="43" t="s">
        <v>53</v>
      </c>
      <c r="B47" s="475" t="s">
        <v>52</v>
      </c>
      <c r="C47" s="476"/>
      <c r="D47" s="476"/>
      <c r="E47" s="476"/>
      <c r="F47" s="477"/>
      <c r="G47" s="478" t="s">
        <v>51</v>
      </c>
      <c r="H47" s="479"/>
      <c r="I47" s="479"/>
      <c r="J47" s="480"/>
      <c r="M47" s="30"/>
      <c r="N47" s="30"/>
      <c r="O47" s="31"/>
      <c r="P47" s="31"/>
      <c r="Q47" s="31"/>
      <c r="R47" s="31"/>
      <c r="S47" s="31"/>
      <c r="T47" s="31"/>
      <c r="U47" s="31"/>
    </row>
    <row r="48" spans="1:21" ht="21" customHeight="1" x14ac:dyDescent="0.5">
      <c r="A48" s="41"/>
      <c r="B48" s="481"/>
      <c r="C48" s="476"/>
      <c r="D48" s="476"/>
      <c r="E48" s="476"/>
      <c r="F48" s="477"/>
      <c r="G48" s="482" t="s">
        <v>50</v>
      </c>
      <c r="H48" s="484"/>
      <c r="I48" s="482" t="s">
        <v>49</v>
      </c>
      <c r="J48" s="483"/>
      <c r="K48" s="42"/>
      <c r="L48" s="42"/>
      <c r="M48" s="30"/>
      <c r="N48" s="30"/>
      <c r="O48" s="31"/>
      <c r="P48" s="31"/>
      <c r="Q48" s="31"/>
      <c r="R48" s="31"/>
      <c r="S48" s="31"/>
      <c r="T48" s="38"/>
      <c r="U48" s="31"/>
    </row>
    <row r="49" spans="1:20" ht="88.5" x14ac:dyDescent="0.65">
      <c r="A49" s="41" t="s">
        <v>48</v>
      </c>
      <c r="B49" s="39" t="s">
        <v>47</v>
      </c>
      <c r="C49" s="39" t="s">
        <v>46</v>
      </c>
      <c r="D49" s="39" t="s">
        <v>45</v>
      </c>
      <c r="E49" s="39" t="s">
        <v>44</v>
      </c>
      <c r="F49" s="39" t="s">
        <v>43</v>
      </c>
      <c r="G49" s="40" t="s">
        <v>42</v>
      </c>
      <c r="H49" s="40" t="s">
        <v>41</v>
      </c>
      <c r="I49" s="40" t="s">
        <v>42</v>
      </c>
      <c r="J49" s="39" t="s">
        <v>41</v>
      </c>
      <c r="K49" s="42"/>
      <c r="L49" s="42"/>
      <c r="M49" s="30"/>
      <c r="N49" s="30"/>
      <c r="O49" s="31"/>
      <c r="P49" s="31"/>
      <c r="Q49" s="31"/>
      <c r="R49" s="31"/>
      <c r="S49" s="38"/>
      <c r="T49" s="31"/>
    </row>
    <row r="50" spans="1:20" ht="27" customHeight="1" x14ac:dyDescent="0.5">
      <c r="A50" s="216" t="s">
        <v>78</v>
      </c>
      <c r="B50" s="36">
        <v>1</v>
      </c>
      <c r="C50" s="36">
        <v>0.4</v>
      </c>
      <c r="D50" s="36">
        <v>0.6</v>
      </c>
      <c r="E50" s="53">
        <v>15</v>
      </c>
      <c r="F50" s="36">
        <v>0.35</v>
      </c>
      <c r="G50" s="36" t="s">
        <v>87</v>
      </c>
      <c r="H50" s="36" t="s">
        <v>86</v>
      </c>
      <c r="I50" s="36" t="s">
        <v>85</v>
      </c>
      <c r="J50" s="44">
        <v>1.6</v>
      </c>
      <c r="K50" s="42"/>
      <c r="L50" s="42"/>
      <c r="M50" s="30"/>
      <c r="N50" s="30"/>
      <c r="O50" s="31"/>
      <c r="P50" s="31"/>
      <c r="Q50" s="31"/>
      <c r="R50" s="31"/>
      <c r="S50" s="31"/>
      <c r="T50" s="31"/>
    </row>
    <row r="51" spans="1:20" x14ac:dyDescent="0.5">
      <c r="K51" s="42"/>
      <c r="L51" s="42"/>
      <c r="M51" s="30"/>
      <c r="N51" s="30"/>
      <c r="O51" s="31"/>
      <c r="P51" s="31"/>
      <c r="Q51" s="31"/>
      <c r="R51" s="35"/>
      <c r="S51" s="35"/>
      <c r="T51" s="35"/>
    </row>
    <row r="52" spans="1:20" x14ac:dyDescent="0.5">
      <c r="M52" s="30"/>
      <c r="N52" s="30"/>
      <c r="O52" s="31"/>
      <c r="P52" s="31"/>
      <c r="Q52" s="31"/>
      <c r="R52" s="31"/>
      <c r="S52" s="31"/>
      <c r="T52" s="31"/>
    </row>
    <row r="53" spans="1:20" x14ac:dyDescent="0.5">
      <c r="M53" s="30"/>
      <c r="N53" s="30"/>
      <c r="O53" s="31"/>
      <c r="P53" s="31"/>
      <c r="Q53" s="31"/>
      <c r="R53" s="31"/>
      <c r="S53" s="31"/>
      <c r="T53" s="31"/>
    </row>
    <row r="54" spans="1:20" x14ac:dyDescent="0.5">
      <c r="M54" s="30"/>
      <c r="N54" s="30"/>
      <c r="O54" s="31"/>
      <c r="P54" s="31"/>
      <c r="Q54" s="31"/>
      <c r="R54" s="31"/>
      <c r="S54" s="31"/>
      <c r="T54" s="31"/>
    </row>
    <row r="55" spans="1:20" x14ac:dyDescent="0.5">
      <c r="M55" s="30"/>
      <c r="N55" s="30"/>
      <c r="O55" s="31"/>
      <c r="P55" s="31"/>
      <c r="Q55" s="31"/>
      <c r="R55" s="34"/>
      <c r="S55" s="34"/>
      <c r="T55" s="34"/>
    </row>
    <row r="56" spans="1:20" x14ac:dyDescent="0.5">
      <c r="M56" s="30"/>
      <c r="N56" s="30"/>
      <c r="O56" s="31"/>
      <c r="P56" s="31"/>
      <c r="Q56" s="31"/>
    </row>
    <row r="57" spans="1:20" x14ac:dyDescent="0.5">
      <c r="M57" s="30"/>
      <c r="N57" s="30"/>
      <c r="O57" s="31"/>
      <c r="P57" s="31"/>
      <c r="Q57" s="31"/>
    </row>
    <row r="58" spans="1:20" x14ac:dyDescent="0.5">
      <c r="A58" s="213" t="s">
        <v>29</v>
      </c>
    </row>
    <row r="59" spans="1:20" ht="60.75" customHeight="1" x14ac:dyDescent="0.5">
      <c r="A59" s="51" t="s">
        <v>65</v>
      </c>
      <c r="B59" s="50" t="s">
        <v>64</v>
      </c>
      <c r="C59" s="49" t="s">
        <v>63</v>
      </c>
      <c r="D59" s="49" t="s">
        <v>62</v>
      </c>
      <c r="E59" s="49" t="s">
        <v>61</v>
      </c>
      <c r="F59" s="49" t="s">
        <v>60</v>
      </c>
      <c r="G59" s="49" t="s">
        <v>59</v>
      </c>
      <c r="H59" s="49" t="s">
        <v>58</v>
      </c>
      <c r="I59" s="48" t="s">
        <v>57</v>
      </c>
      <c r="M59" s="30"/>
      <c r="N59" s="30"/>
      <c r="O59" s="31"/>
      <c r="P59" s="31"/>
      <c r="Q59" s="31"/>
      <c r="R59" s="31"/>
      <c r="S59" s="31"/>
      <c r="T59" s="31"/>
    </row>
    <row r="60" spans="1:20" x14ac:dyDescent="0.5">
      <c r="A60" s="47" t="s">
        <v>72</v>
      </c>
      <c r="B60" s="46" t="s">
        <v>55</v>
      </c>
      <c r="C60" s="45">
        <v>8</v>
      </c>
      <c r="D60" s="45">
        <v>32</v>
      </c>
      <c r="E60" s="45">
        <v>7</v>
      </c>
      <c r="F60" s="45">
        <v>0</v>
      </c>
      <c r="G60" s="37">
        <v>0</v>
      </c>
      <c r="H60" s="44">
        <f>D60/C60</f>
        <v>4</v>
      </c>
      <c r="I60" s="44" t="s">
        <v>54</v>
      </c>
      <c r="M60" s="30"/>
      <c r="N60" s="30"/>
      <c r="O60" s="31"/>
      <c r="P60" s="31"/>
      <c r="Q60" s="31"/>
      <c r="R60" s="31"/>
      <c r="S60" s="31"/>
      <c r="T60" s="31"/>
    </row>
    <row r="61" spans="1:20" ht="42" x14ac:dyDescent="0.5">
      <c r="A61" s="43" t="s">
        <v>53</v>
      </c>
      <c r="B61" s="475" t="s">
        <v>52</v>
      </c>
      <c r="C61" s="476"/>
      <c r="D61" s="476"/>
      <c r="E61" s="476"/>
      <c r="F61" s="477"/>
      <c r="G61" s="478" t="s">
        <v>51</v>
      </c>
      <c r="H61" s="479"/>
      <c r="I61" s="479"/>
      <c r="J61" s="480"/>
      <c r="M61" s="30"/>
      <c r="N61" s="30"/>
      <c r="O61" s="31"/>
      <c r="P61" s="31"/>
      <c r="Q61" s="31"/>
      <c r="R61" s="31"/>
      <c r="S61" s="31"/>
      <c r="T61" s="31"/>
    </row>
    <row r="62" spans="1:20" ht="21" customHeight="1" x14ac:dyDescent="0.5">
      <c r="A62" s="41"/>
      <c r="B62" s="481"/>
      <c r="C62" s="476"/>
      <c r="D62" s="476"/>
      <c r="E62" s="476"/>
      <c r="F62" s="477"/>
      <c r="G62" s="482" t="s">
        <v>50</v>
      </c>
      <c r="H62" s="484"/>
      <c r="I62" s="482" t="s">
        <v>49</v>
      </c>
      <c r="J62" s="483"/>
      <c r="K62" s="42"/>
      <c r="L62" s="42"/>
      <c r="M62" s="30"/>
      <c r="N62" s="30"/>
      <c r="O62" s="31"/>
      <c r="P62" s="31"/>
      <c r="Q62" s="31"/>
      <c r="R62" s="31"/>
      <c r="S62" s="38"/>
      <c r="T62" s="31"/>
    </row>
    <row r="63" spans="1:20" ht="88.5" x14ac:dyDescent="0.65">
      <c r="A63" s="41" t="s">
        <v>48</v>
      </c>
      <c r="B63" s="39" t="s">
        <v>47</v>
      </c>
      <c r="C63" s="39" t="s">
        <v>46</v>
      </c>
      <c r="D63" s="39" t="s">
        <v>45</v>
      </c>
      <c r="E63" s="39" t="s">
        <v>44</v>
      </c>
      <c r="F63" s="39" t="s">
        <v>43</v>
      </c>
      <c r="G63" s="40" t="s">
        <v>42</v>
      </c>
      <c r="H63" s="40" t="s">
        <v>41</v>
      </c>
      <c r="I63" s="40" t="s">
        <v>42</v>
      </c>
      <c r="J63" s="39" t="s">
        <v>41</v>
      </c>
      <c r="K63" s="42"/>
      <c r="L63" s="42"/>
      <c r="M63" s="30"/>
      <c r="N63" s="30"/>
      <c r="O63" s="31"/>
      <c r="P63" s="31"/>
      <c r="Q63" s="31"/>
      <c r="R63" s="31"/>
      <c r="S63" s="38"/>
      <c r="T63" s="31"/>
    </row>
    <row r="64" spans="1:20" ht="28.5" customHeight="1" x14ac:dyDescent="0.5">
      <c r="A64" s="216" t="s">
        <v>78</v>
      </c>
      <c r="B64" s="36">
        <v>1</v>
      </c>
      <c r="C64" s="36">
        <v>0.4</v>
      </c>
      <c r="D64" s="36">
        <v>0.6</v>
      </c>
      <c r="E64" s="53">
        <v>15</v>
      </c>
      <c r="F64" s="36">
        <v>0.35</v>
      </c>
      <c r="G64" s="36" t="s">
        <v>84</v>
      </c>
      <c r="H64" s="36" t="s">
        <v>83</v>
      </c>
      <c r="I64" s="37">
        <v>27</v>
      </c>
      <c r="J64" s="44">
        <v>1.6</v>
      </c>
      <c r="K64" s="42"/>
      <c r="L64" s="42"/>
      <c r="M64" s="30"/>
      <c r="N64" s="30"/>
      <c r="O64" s="31"/>
      <c r="P64" s="31"/>
      <c r="Q64" s="31"/>
      <c r="R64" s="31"/>
      <c r="S64" s="31"/>
      <c r="T64" s="31"/>
    </row>
    <row r="65" spans="1:21" x14ac:dyDescent="0.5">
      <c r="M65" s="30"/>
      <c r="N65" s="30"/>
      <c r="O65" s="31"/>
      <c r="P65" s="31"/>
      <c r="Q65" s="31"/>
      <c r="R65" s="35"/>
      <c r="S65" s="35"/>
      <c r="T65" s="35"/>
    </row>
    <row r="66" spans="1:21" x14ac:dyDescent="0.5">
      <c r="M66" s="30"/>
      <c r="N66" s="30"/>
      <c r="O66" s="31"/>
      <c r="P66" s="31"/>
      <c r="Q66" s="31"/>
      <c r="R66" s="31"/>
      <c r="S66" s="31"/>
      <c r="T66" s="31"/>
    </row>
    <row r="67" spans="1:21" x14ac:dyDescent="0.5">
      <c r="M67" s="30"/>
      <c r="N67" s="30"/>
      <c r="O67" s="31"/>
      <c r="P67" s="31"/>
      <c r="Q67" s="31"/>
      <c r="R67" s="31"/>
      <c r="S67" s="31"/>
      <c r="T67" s="31"/>
    </row>
    <row r="68" spans="1:21" x14ac:dyDescent="0.5">
      <c r="M68" s="30"/>
      <c r="N68" s="30"/>
      <c r="O68" s="31"/>
      <c r="P68" s="31"/>
      <c r="Q68" s="31"/>
      <c r="R68" s="31"/>
      <c r="S68" s="31"/>
      <c r="T68" s="31"/>
    </row>
    <row r="69" spans="1:21" x14ac:dyDescent="0.5">
      <c r="M69" s="30"/>
      <c r="N69" s="30"/>
      <c r="O69" s="31"/>
      <c r="P69" s="31"/>
      <c r="Q69" s="31"/>
      <c r="R69" s="34"/>
      <c r="S69" s="34"/>
      <c r="T69" s="34"/>
    </row>
    <row r="70" spans="1:21" x14ac:dyDescent="0.5">
      <c r="M70" s="30"/>
      <c r="N70" s="30"/>
      <c r="O70" s="31"/>
      <c r="P70" s="31"/>
      <c r="Q70" s="31"/>
    </row>
    <row r="71" spans="1:21" ht="27.75" customHeight="1" x14ac:dyDescent="0.5">
      <c r="A71" s="213" t="s">
        <v>30</v>
      </c>
    </row>
    <row r="72" spans="1:21" ht="60.75" customHeight="1" x14ac:dyDescent="0.5">
      <c r="A72" s="51" t="s">
        <v>65</v>
      </c>
      <c r="B72" s="50" t="s">
        <v>64</v>
      </c>
      <c r="C72" s="49" t="s">
        <v>63</v>
      </c>
      <c r="D72" s="49" t="s">
        <v>62</v>
      </c>
      <c r="E72" s="49" t="s">
        <v>61</v>
      </c>
      <c r="F72" s="49" t="s">
        <v>60</v>
      </c>
      <c r="G72" s="49" t="s">
        <v>59</v>
      </c>
      <c r="H72" s="49" t="s">
        <v>58</v>
      </c>
      <c r="I72" s="48" t="s">
        <v>57</v>
      </c>
      <c r="M72" s="30"/>
      <c r="N72" s="30"/>
      <c r="O72" s="31"/>
      <c r="P72" s="31"/>
      <c r="Q72" s="31"/>
      <c r="R72" s="31"/>
      <c r="S72" s="31"/>
      <c r="T72" s="31"/>
      <c r="U72" s="31"/>
    </row>
    <row r="73" spans="1:21" x14ac:dyDescent="0.5">
      <c r="A73" s="47" t="s">
        <v>72</v>
      </c>
      <c r="B73" s="46" t="s">
        <v>55</v>
      </c>
      <c r="C73" s="45">
        <v>7</v>
      </c>
      <c r="D73" s="45">
        <v>21</v>
      </c>
      <c r="E73" s="45">
        <v>9</v>
      </c>
      <c r="F73" s="45">
        <v>0</v>
      </c>
      <c r="G73" s="55">
        <v>3</v>
      </c>
      <c r="H73" s="44">
        <f>D73/C73</f>
        <v>3</v>
      </c>
      <c r="I73" s="44" t="s">
        <v>54</v>
      </c>
      <c r="M73" s="30"/>
      <c r="N73" s="30"/>
      <c r="O73" s="31"/>
      <c r="P73" s="31"/>
      <c r="Q73" s="31"/>
      <c r="R73" s="31"/>
      <c r="S73" s="31"/>
      <c r="T73" s="31"/>
      <c r="U73" s="31"/>
    </row>
    <row r="74" spans="1:21" ht="42" x14ac:dyDescent="0.5">
      <c r="A74" s="43" t="s">
        <v>53</v>
      </c>
      <c r="B74" s="475" t="s">
        <v>52</v>
      </c>
      <c r="C74" s="476"/>
      <c r="D74" s="476"/>
      <c r="E74" s="476"/>
      <c r="F74" s="477"/>
      <c r="G74" s="478" t="s">
        <v>51</v>
      </c>
      <c r="H74" s="479"/>
      <c r="I74" s="479"/>
      <c r="J74" s="480"/>
      <c r="M74" s="30"/>
      <c r="N74" s="30"/>
      <c r="O74" s="31"/>
      <c r="P74" s="31"/>
      <c r="Q74" s="31"/>
      <c r="R74" s="31"/>
      <c r="S74" s="31"/>
      <c r="T74" s="31"/>
      <c r="U74" s="31"/>
    </row>
    <row r="75" spans="1:21" ht="21" customHeight="1" x14ac:dyDescent="0.5">
      <c r="A75" s="41"/>
      <c r="B75" s="481"/>
      <c r="C75" s="476"/>
      <c r="D75" s="476"/>
      <c r="E75" s="476"/>
      <c r="F75" s="477"/>
      <c r="G75" s="482" t="s">
        <v>50</v>
      </c>
      <c r="H75" s="484"/>
      <c r="I75" s="482" t="s">
        <v>49</v>
      </c>
      <c r="J75" s="483"/>
      <c r="K75" s="42"/>
      <c r="M75" s="30"/>
      <c r="N75" s="30"/>
      <c r="O75" s="31"/>
      <c r="P75" s="31"/>
      <c r="Q75" s="31"/>
      <c r="R75" s="31"/>
      <c r="S75" s="31"/>
      <c r="T75" s="38"/>
      <c r="U75" s="31"/>
    </row>
    <row r="76" spans="1:21" ht="88.5" x14ac:dyDescent="0.65">
      <c r="A76" s="41" t="s">
        <v>48</v>
      </c>
      <c r="B76" s="39" t="s">
        <v>47</v>
      </c>
      <c r="C76" s="39" t="s">
        <v>46</v>
      </c>
      <c r="D76" s="39" t="s">
        <v>45</v>
      </c>
      <c r="E76" s="39" t="s">
        <v>44</v>
      </c>
      <c r="F76" s="39" t="s">
        <v>43</v>
      </c>
      <c r="G76" s="40" t="s">
        <v>42</v>
      </c>
      <c r="H76" s="40" t="s">
        <v>41</v>
      </c>
      <c r="I76" s="40" t="s">
        <v>42</v>
      </c>
      <c r="J76" s="39" t="s">
        <v>41</v>
      </c>
      <c r="M76" s="30"/>
      <c r="N76" s="30"/>
      <c r="O76" s="31"/>
      <c r="P76" s="31"/>
      <c r="Q76" s="31"/>
      <c r="R76" s="31"/>
      <c r="S76" s="38"/>
      <c r="T76" s="31"/>
    </row>
    <row r="77" spans="1:21" ht="27.75" customHeight="1" x14ac:dyDescent="0.5">
      <c r="A77" s="216" t="s">
        <v>78</v>
      </c>
      <c r="B77" s="54">
        <v>1</v>
      </c>
      <c r="C77" s="36">
        <v>0.4</v>
      </c>
      <c r="D77" s="36">
        <v>0.6</v>
      </c>
      <c r="E77" s="53">
        <v>15</v>
      </c>
      <c r="F77" s="36">
        <v>0.35</v>
      </c>
      <c r="G77" s="36" t="s">
        <v>82</v>
      </c>
      <c r="H77" s="36" t="s">
        <v>81</v>
      </c>
      <c r="I77" s="36" t="s">
        <v>80</v>
      </c>
      <c r="J77" s="44">
        <v>1.5</v>
      </c>
      <c r="M77" s="30"/>
      <c r="N77" s="30"/>
      <c r="O77" s="31"/>
      <c r="P77" s="31"/>
      <c r="Q77" s="31"/>
      <c r="R77" s="31"/>
      <c r="S77" s="31"/>
      <c r="T77" s="31"/>
    </row>
    <row r="78" spans="1:21" x14ac:dyDescent="0.5">
      <c r="M78" s="30"/>
      <c r="N78" s="30"/>
      <c r="O78" s="31"/>
      <c r="P78" s="31"/>
      <c r="Q78" s="31"/>
      <c r="R78" s="35"/>
      <c r="S78" s="35"/>
      <c r="T78" s="35"/>
    </row>
    <row r="79" spans="1:21" x14ac:dyDescent="0.5">
      <c r="M79" s="30"/>
      <c r="N79" s="30"/>
      <c r="O79" s="31"/>
      <c r="P79" s="31"/>
      <c r="Q79" s="31"/>
      <c r="R79" s="31"/>
      <c r="S79" s="31"/>
      <c r="T79" s="31"/>
    </row>
    <row r="80" spans="1:21" x14ac:dyDescent="0.5">
      <c r="M80" s="30"/>
      <c r="N80" s="30"/>
      <c r="O80" s="31"/>
      <c r="P80" s="31"/>
      <c r="Q80" s="31"/>
      <c r="R80" s="31"/>
      <c r="S80" s="31"/>
      <c r="T80" s="31"/>
    </row>
    <row r="81" spans="1:21" x14ac:dyDescent="0.5">
      <c r="M81" s="30"/>
      <c r="N81" s="30"/>
      <c r="O81" s="31"/>
      <c r="P81" s="31"/>
      <c r="Q81" s="31"/>
      <c r="R81" s="31"/>
      <c r="S81" s="31"/>
      <c r="T81" s="31"/>
    </row>
    <row r="82" spans="1:21" x14ac:dyDescent="0.5">
      <c r="M82" s="30"/>
      <c r="N82" s="30"/>
      <c r="O82" s="31"/>
      <c r="P82" s="31"/>
      <c r="Q82" s="31"/>
      <c r="R82" s="34"/>
      <c r="S82" s="34"/>
      <c r="T82" s="34"/>
    </row>
    <row r="83" spans="1:21" x14ac:dyDescent="0.5">
      <c r="M83" s="30"/>
      <c r="N83" s="30"/>
      <c r="O83" s="31"/>
      <c r="P83" s="31"/>
      <c r="Q83" s="31"/>
    </row>
    <row r="84" spans="1:21" ht="27.75" customHeight="1" x14ac:dyDescent="0.5">
      <c r="M84" s="30"/>
      <c r="N84" s="30"/>
      <c r="O84" s="31"/>
      <c r="P84" s="31"/>
      <c r="Q84" s="31"/>
    </row>
    <row r="85" spans="1:21" ht="27.75" customHeight="1" x14ac:dyDescent="0.5">
      <c r="A85" s="213" t="s">
        <v>31</v>
      </c>
    </row>
    <row r="86" spans="1:21" ht="60.75" customHeight="1" x14ac:dyDescent="0.5">
      <c r="A86" s="51" t="s">
        <v>65</v>
      </c>
      <c r="B86" s="50" t="s">
        <v>64</v>
      </c>
      <c r="C86" s="49" t="s">
        <v>63</v>
      </c>
      <c r="D86" s="49" t="s">
        <v>62</v>
      </c>
      <c r="E86" s="49" t="s">
        <v>61</v>
      </c>
      <c r="F86" s="49" t="s">
        <v>60</v>
      </c>
      <c r="G86" s="49" t="s">
        <v>59</v>
      </c>
      <c r="H86" s="49" t="s">
        <v>58</v>
      </c>
      <c r="I86" s="48" t="s">
        <v>57</v>
      </c>
      <c r="M86" s="30"/>
      <c r="N86" s="30"/>
      <c r="O86" s="31"/>
      <c r="P86" s="31"/>
      <c r="Q86" s="31"/>
      <c r="R86" s="31"/>
      <c r="S86" s="31"/>
      <c r="T86" s="31"/>
      <c r="U86" s="31"/>
    </row>
    <row r="87" spans="1:21" x14ac:dyDescent="0.5">
      <c r="A87" s="47" t="s">
        <v>72</v>
      </c>
      <c r="B87" s="46" t="s">
        <v>55</v>
      </c>
      <c r="C87" s="45">
        <v>10</v>
      </c>
      <c r="D87" s="45">
        <v>37</v>
      </c>
      <c r="E87" s="45">
        <v>10</v>
      </c>
      <c r="F87" s="45">
        <v>0.2</v>
      </c>
      <c r="G87" s="44" t="s">
        <v>79</v>
      </c>
      <c r="H87" s="44">
        <f>D87/C87</f>
        <v>3.7</v>
      </c>
      <c r="I87" s="44" t="s">
        <v>54</v>
      </c>
      <c r="M87" s="30"/>
      <c r="N87" s="30"/>
      <c r="O87" s="31"/>
      <c r="P87" s="31"/>
      <c r="Q87" s="31"/>
      <c r="R87" s="31"/>
      <c r="S87" s="31"/>
      <c r="T87" s="31"/>
      <c r="U87" s="31"/>
    </row>
    <row r="88" spans="1:21" ht="42" x14ac:dyDescent="0.5">
      <c r="A88" s="43" t="s">
        <v>53</v>
      </c>
      <c r="B88" s="475" t="s">
        <v>52</v>
      </c>
      <c r="C88" s="476"/>
      <c r="D88" s="476"/>
      <c r="E88" s="476"/>
      <c r="F88" s="477"/>
      <c r="G88" s="478" t="s">
        <v>51</v>
      </c>
      <c r="H88" s="479"/>
      <c r="I88" s="479"/>
      <c r="J88" s="480"/>
      <c r="M88" s="30"/>
      <c r="N88" s="30"/>
      <c r="O88" s="31"/>
      <c r="P88" s="31"/>
      <c r="Q88" s="31"/>
      <c r="R88" s="31"/>
      <c r="S88" s="31"/>
      <c r="T88" s="31"/>
      <c r="U88" s="31"/>
    </row>
    <row r="89" spans="1:21" ht="21" customHeight="1" x14ac:dyDescent="0.5">
      <c r="A89" s="41"/>
      <c r="B89" s="481"/>
      <c r="C89" s="476"/>
      <c r="D89" s="476"/>
      <c r="E89" s="476"/>
      <c r="F89" s="477"/>
      <c r="G89" s="482" t="s">
        <v>50</v>
      </c>
      <c r="H89" s="484"/>
      <c r="I89" s="482" t="s">
        <v>49</v>
      </c>
      <c r="J89" s="483"/>
      <c r="K89" s="42"/>
      <c r="L89" s="42"/>
      <c r="M89" s="30"/>
      <c r="N89" s="30"/>
      <c r="O89" s="31"/>
      <c r="P89" s="31"/>
      <c r="Q89" s="31"/>
      <c r="R89" s="31"/>
      <c r="S89" s="38"/>
      <c r="T89" s="31"/>
    </row>
    <row r="90" spans="1:21" ht="88.5" x14ac:dyDescent="0.65">
      <c r="A90" s="41" t="s">
        <v>48</v>
      </c>
      <c r="B90" s="39" t="s">
        <v>47</v>
      </c>
      <c r="C90" s="39" t="s">
        <v>46</v>
      </c>
      <c r="D90" s="39" t="s">
        <v>45</v>
      </c>
      <c r="E90" s="39" t="s">
        <v>44</v>
      </c>
      <c r="F90" s="39" t="s">
        <v>43</v>
      </c>
      <c r="G90" s="40" t="s">
        <v>42</v>
      </c>
      <c r="H90" s="40" t="s">
        <v>41</v>
      </c>
      <c r="I90" s="40" t="s">
        <v>42</v>
      </c>
      <c r="J90" s="39" t="s">
        <v>41</v>
      </c>
      <c r="M90" s="30"/>
      <c r="N90" s="30"/>
      <c r="O90" s="31"/>
      <c r="P90" s="31"/>
      <c r="Q90" s="31"/>
      <c r="R90" s="31"/>
      <c r="S90" s="38"/>
      <c r="T90" s="31"/>
    </row>
    <row r="91" spans="1:21" ht="27.75" customHeight="1" x14ac:dyDescent="0.5">
      <c r="A91" s="216" t="s">
        <v>78</v>
      </c>
      <c r="B91" s="36">
        <v>1</v>
      </c>
      <c r="C91" s="36">
        <v>0.4</v>
      </c>
      <c r="D91" s="36">
        <v>0.6</v>
      </c>
      <c r="E91" s="53">
        <v>15</v>
      </c>
      <c r="F91" s="36">
        <v>0.35</v>
      </c>
      <c r="G91" s="36" t="s">
        <v>77</v>
      </c>
      <c r="H91" s="44">
        <v>2.2999999999999998</v>
      </c>
      <c r="I91" s="36" t="s">
        <v>76</v>
      </c>
      <c r="J91" s="44">
        <v>1.6</v>
      </c>
      <c r="M91" s="30"/>
      <c r="N91" s="30"/>
      <c r="O91" s="31"/>
      <c r="P91" s="31"/>
      <c r="Q91" s="31"/>
      <c r="R91" s="31"/>
      <c r="S91" s="31"/>
      <c r="T91" s="31"/>
    </row>
    <row r="92" spans="1:21" x14ac:dyDescent="0.5">
      <c r="M92" s="30"/>
      <c r="N92" s="30"/>
      <c r="O92" s="31"/>
      <c r="P92" s="31"/>
      <c r="Q92" s="31"/>
      <c r="R92" s="35"/>
      <c r="S92" s="35"/>
      <c r="T92" s="35"/>
    </row>
    <row r="93" spans="1:21" x14ac:dyDescent="0.5">
      <c r="M93" s="30"/>
      <c r="N93" s="30"/>
      <c r="O93" s="31"/>
      <c r="P93" s="31"/>
      <c r="Q93" s="31"/>
      <c r="R93" s="31"/>
      <c r="S93" s="31"/>
      <c r="T93" s="31"/>
    </row>
    <row r="94" spans="1:21" x14ac:dyDescent="0.5">
      <c r="M94" s="30"/>
      <c r="N94" s="30"/>
      <c r="O94" s="31"/>
      <c r="P94" s="31"/>
      <c r="Q94" s="31"/>
      <c r="R94" s="31"/>
      <c r="S94" s="31"/>
      <c r="T94" s="31"/>
    </row>
    <row r="95" spans="1:21" ht="27.75" customHeight="1" x14ac:dyDescent="0.5"/>
    <row r="96" spans="1:21" ht="27.75" customHeight="1" x14ac:dyDescent="0.5"/>
    <row r="97" spans="1:21" x14ac:dyDescent="0.5">
      <c r="A97" s="213" t="s">
        <v>32</v>
      </c>
    </row>
    <row r="98" spans="1:21" ht="60.75" customHeight="1" x14ac:dyDescent="0.5">
      <c r="A98" s="51" t="s">
        <v>65</v>
      </c>
      <c r="B98" s="50" t="s">
        <v>64</v>
      </c>
      <c r="C98" s="49" t="s">
        <v>63</v>
      </c>
      <c r="D98" s="49" t="s">
        <v>62</v>
      </c>
      <c r="E98" s="49" t="s">
        <v>61</v>
      </c>
      <c r="F98" s="49" t="s">
        <v>60</v>
      </c>
      <c r="G98" s="49" t="s">
        <v>59</v>
      </c>
      <c r="H98" s="49" t="s">
        <v>58</v>
      </c>
      <c r="I98" s="48" t="s">
        <v>57</v>
      </c>
      <c r="M98" s="30"/>
      <c r="N98" s="30"/>
      <c r="O98" s="31"/>
      <c r="P98" s="31"/>
      <c r="Q98" s="31"/>
      <c r="R98" s="31"/>
      <c r="S98" s="31"/>
      <c r="T98" s="31"/>
      <c r="U98" s="31"/>
    </row>
    <row r="99" spans="1:21" x14ac:dyDescent="0.5">
      <c r="A99" s="47" t="s">
        <v>72</v>
      </c>
      <c r="B99" s="46" t="s">
        <v>75</v>
      </c>
      <c r="C99" s="45">
        <v>7</v>
      </c>
      <c r="D99" s="45">
        <v>33</v>
      </c>
      <c r="E99" s="45">
        <v>8</v>
      </c>
      <c r="F99" s="45">
        <v>0.2</v>
      </c>
      <c r="G99" s="44" t="s">
        <v>74</v>
      </c>
      <c r="H99" s="44">
        <v>4.0999999999999996</v>
      </c>
      <c r="I99" s="44" t="s">
        <v>54</v>
      </c>
      <c r="M99" s="30"/>
      <c r="N99" s="30"/>
      <c r="O99" s="31"/>
      <c r="P99" s="31"/>
      <c r="Q99" s="31"/>
      <c r="R99" s="31"/>
      <c r="S99" s="31"/>
      <c r="T99" s="31"/>
      <c r="U99" s="31"/>
    </row>
    <row r="100" spans="1:21" ht="42" x14ac:dyDescent="0.5">
      <c r="A100" s="43" t="s">
        <v>53</v>
      </c>
      <c r="B100" s="475" t="s">
        <v>52</v>
      </c>
      <c r="C100" s="476"/>
      <c r="D100" s="476"/>
      <c r="E100" s="476"/>
      <c r="F100" s="477"/>
      <c r="G100" s="478" t="s">
        <v>51</v>
      </c>
      <c r="H100" s="479"/>
      <c r="I100" s="479"/>
      <c r="J100" s="480"/>
      <c r="M100" s="30"/>
      <c r="N100" s="30"/>
      <c r="O100" s="31"/>
      <c r="P100" s="31"/>
      <c r="Q100" s="31"/>
      <c r="R100" s="31"/>
      <c r="S100" s="31"/>
      <c r="T100" s="31"/>
      <c r="U100" s="31"/>
    </row>
    <row r="101" spans="1:21" ht="21" customHeight="1" x14ac:dyDescent="0.5">
      <c r="A101" s="41"/>
      <c r="B101" s="481"/>
      <c r="C101" s="476"/>
      <c r="D101" s="476"/>
      <c r="E101" s="476"/>
      <c r="F101" s="477"/>
      <c r="G101" s="482" t="s">
        <v>50</v>
      </c>
      <c r="H101" s="484"/>
      <c r="I101" s="482" t="s">
        <v>49</v>
      </c>
      <c r="J101" s="483"/>
      <c r="K101" s="42"/>
      <c r="L101" s="42"/>
      <c r="M101" s="29"/>
      <c r="N101" s="29"/>
      <c r="O101" s="31"/>
      <c r="P101" s="31"/>
      <c r="Q101" s="31"/>
      <c r="R101" s="31"/>
      <c r="S101" s="38"/>
      <c r="T101" s="31"/>
    </row>
    <row r="102" spans="1:21" ht="88.5" x14ac:dyDescent="0.65">
      <c r="A102" s="41" t="s">
        <v>48</v>
      </c>
      <c r="B102" s="39" t="s">
        <v>47</v>
      </c>
      <c r="C102" s="39" t="s">
        <v>46</v>
      </c>
      <c r="D102" s="39" t="s">
        <v>45</v>
      </c>
      <c r="E102" s="39" t="s">
        <v>44</v>
      </c>
      <c r="F102" s="39" t="s">
        <v>43</v>
      </c>
      <c r="G102" s="40" t="s">
        <v>42</v>
      </c>
      <c r="H102" s="40" t="s">
        <v>41</v>
      </c>
      <c r="I102" s="40" t="s">
        <v>42</v>
      </c>
      <c r="J102" s="39" t="s">
        <v>41</v>
      </c>
      <c r="L102" s="42"/>
      <c r="M102" s="29"/>
      <c r="N102" s="29"/>
      <c r="O102" s="31"/>
      <c r="P102" s="31"/>
      <c r="Q102" s="31"/>
      <c r="R102" s="31"/>
      <c r="S102" s="38"/>
      <c r="T102" s="31"/>
    </row>
    <row r="103" spans="1:21" ht="28.5" customHeight="1" x14ac:dyDescent="0.5">
      <c r="A103" s="216" t="s">
        <v>40</v>
      </c>
      <c r="B103" s="36">
        <v>1.5</v>
      </c>
      <c r="C103" s="36">
        <v>0.4</v>
      </c>
      <c r="D103" s="36">
        <v>0.7</v>
      </c>
      <c r="E103" s="53">
        <v>10</v>
      </c>
      <c r="F103" s="36">
        <v>0.35</v>
      </c>
      <c r="G103" s="36" t="s">
        <v>39</v>
      </c>
      <c r="H103" s="36" t="s">
        <v>38</v>
      </c>
      <c r="I103" s="36" t="s">
        <v>37</v>
      </c>
      <c r="J103" s="36" t="s">
        <v>36</v>
      </c>
      <c r="L103" s="42"/>
      <c r="M103" s="29"/>
      <c r="N103" s="29"/>
      <c r="O103" s="31"/>
      <c r="P103" s="31"/>
      <c r="Q103" s="31"/>
      <c r="R103" s="31"/>
      <c r="S103" s="31"/>
      <c r="T103" s="31"/>
    </row>
    <row r="104" spans="1:21" x14ac:dyDescent="0.5">
      <c r="L104" s="42"/>
      <c r="M104" s="29"/>
      <c r="N104" s="29"/>
      <c r="O104" s="31"/>
      <c r="P104" s="31"/>
      <c r="Q104" s="31"/>
      <c r="R104" s="35"/>
      <c r="S104" s="35"/>
      <c r="T104" s="35"/>
    </row>
    <row r="105" spans="1:21" x14ac:dyDescent="0.5">
      <c r="M105" s="29"/>
      <c r="N105" s="29"/>
      <c r="O105" s="31"/>
      <c r="P105" s="31"/>
      <c r="Q105" s="31"/>
      <c r="R105" s="31"/>
      <c r="S105" s="31"/>
      <c r="T105" s="31"/>
    </row>
    <row r="106" spans="1:21" x14ac:dyDescent="0.5">
      <c r="M106" s="29"/>
      <c r="N106" s="29"/>
      <c r="O106" s="31"/>
      <c r="P106" s="31"/>
      <c r="Q106" s="31"/>
      <c r="R106" s="31"/>
      <c r="S106" s="31"/>
      <c r="T106" s="31"/>
    </row>
    <row r="107" spans="1:21" x14ac:dyDescent="0.5">
      <c r="M107" s="29"/>
      <c r="N107" s="29"/>
      <c r="O107" s="31"/>
      <c r="P107" s="31"/>
      <c r="Q107" s="31"/>
      <c r="R107" s="31"/>
      <c r="S107" s="31"/>
      <c r="T107" s="31"/>
    </row>
    <row r="108" spans="1:21" x14ac:dyDescent="0.5">
      <c r="M108" s="29"/>
      <c r="N108" s="29"/>
      <c r="O108" s="31"/>
      <c r="P108" s="31"/>
      <c r="Q108" s="31"/>
      <c r="R108" s="34"/>
      <c r="S108" s="34"/>
      <c r="T108" s="34"/>
    </row>
    <row r="109" spans="1:21" x14ac:dyDescent="0.5">
      <c r="M109" s="29"/>
      <c r="N109" s="29"/>
      <c r="O109" s="31"/>
      <c r="P109" s="31"/>
      <c r="Q109" s="31"/>
    </row>
    <row r="110" spans="1:21" ht="27.75" customHeight="1" x14ac:dyDescent="0.5">
      <c r="M110" s="29"/>
      <c r="N110" s="29"/>
      <c r="O110" s="31"/>
      <c r="P110" s="31"/>
      <c r="Q110" s="31"/>
    </row>
    <row r="111" spans="1:21" ht="27.75" customHeight="1" x14ac:dyDescent="0.5"/>
    <row r="112" spans="1:21" x14ac:dyDescent="0.5">
      <c r="A112" s="213" t="s">
        <v>33</v>
      </c>
    </row>
    <row r="113" spans="1:28" ht="60.75" customHeight="1" x14ac:dyDescent="0.5">
      <c r="A113" s="51" t="s">
        <v>65</v>
      </c>
      <c r="B113" s="50" t="s">
        <v>64</v>
      </c>
      <c r="C113" s="49" t="s">
        <v>63</v>
      </c>
      <c r="D113" s="49" t="s">
        <v>62</v>
      </c>
      <c r="E113" s="49" t="s">
        <v>61</v>
      </c>
      <c r="F113" s="49" t="s">
        <v>60</v>
      </c>
      <c r="G113" s="39" t="s">
        <v>73</v>
      </c>
      <c r="H113" s="49" t="s">
        <v>58</v>
      </c>
      <c r="I113" s="48" t="s">
        <v>57</v>
      </c>
      <c r="M113" s="30"/>
      <c r="N113" s="30"/>
      <c r="O113" s="31"/>
      <c r="P113" s="31"/>
      <c r="Q113" s="31"/>
      <c r="R113" s="31"/>
      <c r="S113" s="31"/>
      <c r="T113" s="31"/>
      <c r="U113" s="31"/>
    </row>
    <row r="114" spans="1:28" x14ac:dyDescent="0.5">
      <c r="A114" s="47" t="s">
        <v>72</v>
      </c>
      <c r="B114" s="46" t="s">
        <v>71</v>
      </c>
      <c r="C114" s="45">
        <v>12</v>
      </c>
      <c r="D114" s="45">
        <v>44</v>
      </c>
      <c r="E114" s="45">
        <v>12</v>
      </c>
      <c r="F114" s="45">
        <v>0.95</v>
      </c>
      <c r="G114" s="44">
        <v>2</v>
      </c>
      <c r="H114" s="44">
        <f>D114/C114</f>
        <v>3.6666666666666665</v>
      </c>
      <c r="I114" s="44" t="s">
        <v>54</v>
      </c>
      <c r="M114" s="30"/>
      <c r="N114" s="30"/>
      <c r="O114" s="31"/>
      <c r="P114" s="31"/>
      <c r="Q114" s="31"/>
      <c r="R114" s="31"/>
      <c r="S114" s="31"/>
      <c r="T114" s="31"/>
      <c r="U114" s="31"/>
    </row>
    <row r="115" spans="1:28" ht="42" x14ac:dyDescent="0.5">
      <c r="A115" s="43" t="s">
        <v>53</v>
      </c>
      <c r="B115" s="475" t="s">
        <v>52</v>
      </c>
      <c r="C115" s="476"/>
      <c r="D115" s="476"/>
      <c r="E115" s="476"/>
      <c r="F115" s="477"/>
      <c r="G115" s="478" t="s">
        <v>51</v>
      </c>
      <c r="H115" s="479"/>
      <c r="I115" s="479"/>
      <c r="J115" s="480"/>
      <c r="M115" s="30"/>
      <c r="N115" s="30"/>
      <c r="O115" s="31"/>
      <c r="P115" s="31"/>
      <c r="Q115" s="31"/>
      <c r="R115" s="31"/>
      <c r="S115" s="31"/>
      <c r="T115" s="31"/>
      <c r="U115" s="31"/>
    </row>
    <row r="116" spans="1:28" ht="21" customHeight="1" x14ac:dyDescent="0.5">
      <c r="A116" s="41"/>
      <c r="B116" s="481"/>
      <c r="C116" s="476"/>
      <c r="D116" s="476"/>
      <c r="E116" s="476"/>
      <c r="F116" s="477"/>
      <c r="G116" s="482" t="s">
        <v>50</v>
      </c>
      <c r="H116" s="484"/>
      <c r="I116" s="482" t="s">
        <v>49</v>
      </c>
      <c r="J116" s="483"/>
      <c r="K116" s="42"/>
      <c r="L116" s="42"/>
      <c r="M116" s="29"/>
      <c r="N116" s="29"/>
      <c r="O116" s="31"/>
      <c r="P116" s="31"/>
      <c r="Q116" s="31"/>
      <c r="R116" s="31"/>
      <c r="S116" s="31"/>
      <c r="T116" s="38"/>
      <c r="U116" s="31"/>
    </row>
    <row r="117" spans="1:28" ht="88.5" x14ac:dyDescent="0.65">
      <c r="A117" s="41" t="s">
        <v>48</v>
      </c>
      <c r="B117" s="39" t="s">
        <v>47</v>
      </c>
      <c r="C117" s="39" t="s">
        <v>46</v>
      </c>
      <c r="D117" s="39" t="s">
        <v>45</v>
      </c>
      <c r="E117" s="39" t="s">
        <v>44</v>
      </c>
      <c r="F117" s="39" t="s">
        <v>43</v>
      </c>
      <c r="G117" s="40" t="s">
        <v>42</v>
      </c>
      <c r="H117" s="40" t="s">
        <v>41</v>
      </c>
      <c r="I117" s="40" t="s">
        <v>42</v>
      </c>
      <c r="J117" s="39" t="s">
        <v>41</v>
      </c>
      <c r="K117" s="42"/>
      <c r="L117" s="42"/>
      <c r="M117" s="29"/>
      <c r="R117" s="31"/>
      <c r="S117" s="38"/>
      <c r="T117" s="31"/>
    </row>
    <row r="118" spans="1:28" ht="27" customHeight="1" x14ac:dyDescent="0.5">
      <c r="A118" s="216" t="s">
        <v>70</v>
      </c>
      <c r="B118" s="36">
        <v>2</v>
      </c>
      <c r="C118" s="36">
        <v>0.4</v>
      </c>
      <c r="D118" s="36">
        <v>0.7</v>
      </c>
      <c r="E118" s="53">
        <v>10</v>
      </c>
      <c r="F118" s="36">
        <v>0.35</v>
      </c>
      <c r="G118" s="36" t="s">
        <v>69</v>
      </c>
      <c r="H118" s="36" t="s">
        <v>68</v>
      </c>
      <c r="I118" s="36" t="s">
        <v>67</v>
      </c>
      <c r="J118" s="36" t="s">
        <v>66</v>
      </c>
      <c r="K118" s="42"/>
      <c r="L118" s="42"/>
      <c r="M118" s="29"/>
      <c r="R118" s="31"/>
      <c r="S118" s="31"/>
      <c r="T118" s="31"/>
    </row>
    <row r="119" spans="1:28" x14ac:dyDescent="0.5">
      <c r="K119" s="42"/>
      <c r="L119" s="42"/>
      <c r="M119" s="29"/>
      <c r="R119" s="35"/>
      <c r="S119" s="35"/>
      <c r="T119" s="35"/>
    </row>
    <row r="120" spans="1:28" x14ac:dyDescent="0.5">
      <c r="K120" s="42"/>
      <c r="L120" s="42"/>
      <c r="M120" s="29"/>
      <c r="R120" s="31"/>
      <c r="S120" s="31"/>
      <c r="T120" s="31"/>
    </row>
    <row r="121" spans="1:28" x14ac:dyDescent="0.5">
      <c r="K121" s="42"/>
      <c r="L121" s="42"/>
      <c r="M121" s="29"/>
      <c r="R121" s="31"/>
      <c r="S121" s="31"/>
      <c r="T121" s="31"/>
    </row>
    <row r="122" spans="1:28" x14ac:dyDescent="0.5">
      <c r="R122" s="31"/>
      <c r="S122" s="31"/>
      <c r="T122" s="31"/>
    </row>
    <row r="123" spans="1:28" x14ac:dyDescent="0.5">
      <c r="R123" s="34"/>
      <c r="S123" s="34"/>
      <c r="T123" s="34"/>
    </row>
    <row r="125" spans="1:28" x14ac:dyDescent="0.5">
      <c r="AB125" s="52"/>
    </row>
    <row r="127" spans="1:28" x14ac:dyDescent="0.5">
      <c r="A127" s="213" t="s">
        <v>34</v>
      </c>
    </row>
    <row r="128" spans="1:28" ht="60.75" customHeight="1" x14ac:dyDescent="0.5">
      <c r="A128" s="51" t="s">
        <v>65</v>
      </c>
      <c r="B128" s="50" t="s">
        <v>64</v>
      </c>
      <c r="C128" s="49" t="s">
        <v>63</v>
      </c>
      <c r="D128" s="49" t="s">
        <v>62</v>
      </c>
      <c r="E128" s="49" t="s">
        <v>61</v>
      </c>
      <c r="F128" s="49" t="s">
        <v>60</v>
      </c>
      <c r="G128" s="49" t="s">
        <v>59</v>
      </c>
      <c r="H128" s="49" t="s">
        <v>58</v>
      </c>
      <c r="I128" s="48" t="s">
        <v>57</v>
      </c>
      <c r="M128" s="30"/>
      <c r="N128" s="30"/>
      <c r="O128" s="31"/>
      <c r="P128" s="31"/>
      <c r="Q128" s="31"/>
      <c r="R128" s="31"/>
      <c r="S128" s="31"/>
      <c r="T128" s="31"/>
      <c r="U128" s="31"/>
    </row>
    <row r="129" spans="1:38" x14ac:dyDescent="0.5">
      <c r="A129" s="47" t="s">
        <v>56</v>
      </c>
      <c r="B129" s="46" t="s">
        <v>55</v>
      </c>
      <c r="C129" s="45">
        <v>4</v>
      </c>
      <c r="D129" s="45">
        <v>37</v>
      </c>
      <c r="E129" s="45">
        <v>10</v>
      </c>
      <c r="F129" s="45">
        <v>-2.1</v>
      </c>
      <c r="G129" s="37">
        <v>0</v>
      </c>
      <c r="H129" s="44">
        <v>3.7</v>
      </c>
      <c r="I129" s="44" t="s">
        <v>54</v>
      </c>
      <c r="M129" s="30"/>
      <c r="N129" s="30"/>
      <c r="O129" s="31"/>
      <c r="P129" s="31"/>
      <c r="Q129" s="31"/>
      <c r="R129" s="31"/>
      <c r="S129" s="31"/>
      <c r="T129" s="31"/>
      <c r="U129" s="31"/>
    </row>
    <row r="130" spans="1:38" ht="42" x14ac:dyDescent="0.5">
      <c r="A130" s="43" t="s">
        <v>53</v>
      </c>
      <c r="B130" s="475" t="s">
        <v>52</v>
      </c>
      <c r="C130" s="476"/>
      <c r="D130" s="476"/>
      <c r="E130" s="476"/>
      <c r="F130" s="477"/>
      <c r="G130" s="478" t="s">
        <v>51</v>
      </c>
      <c r="H130" s="479"/>
      <c r="I130" s="479"/>
      <c r="J130" s="480"/>
      <c r="M130" s="30"/>
      <c r="N130" s="30"/>
      <c r="O130" s="31"/>
      <c r="P130" s="31"/>
      <c r="Q130" s="31"/>
      <c r="R130" s="31"/>
      <c r="S130" s="31"/>
      <c r="T130" s="31"/>
      <c r="U130" s="31"/>
    </row>
    <row r="131" spans="1:38" ht="21" customHeight="1" x14ac:dyDescent="0.5">
      <c r="A131" s="41"/>
      <c r="B131" s="481"/>
      <c r="C131" s="476"/>
      <c r="D131" s="476"/>
      <c r="E131" s="476"/>
      <c r="F131" s="477"/>
      <c r="G131" s="482" t="s">
        <v>50</v>
      </c>
      <c r="H131" s="484"/>
      <c r="I131" s="482" t="s">
        <v>49</v>
      </c>
      <c r="J131" s="483"/>
      <c r="K131" s="42"/>
      <c r="L131" s="42"/>
      <c r="M131" s="29"/>
      <c r="N131" s="29"/>
      <c r="O131" s="31"/>
      <c r="P131" s="31"/>
      <c r="Q131" s="31"/>
      <c r="R131" s="31"/>
      <c r="S131" s="31"/>
      <c r="T131" s="38"/>
      <c r="U131" s="31"/>
    </row>
    <row r="132" spans="1:38" ht="88.5" x14ac:dyDescent="0.65">
      <c r="A132" s="41" t="s">
        <v>48</v>
      </c>
      <c r="B132" s="39" t="s">
        <v>47</v>
      </c>
      <c r="C132" s="39" t="s">
        <v>46</v>
      </c>
      <c r="D132" s="39" t="s">
        <v>45</v>
      </c>
      <c r="E132" s="39" t="s">
        <v>44</v>
      </c>
      <c r="F132" s="39" t="s">
        <v>43</v>
      </c>
      <c r="G132" s="40" t="s">
        <v>42</v>
      </c>
      <c r="H132" s="40" t="s">
        <v>41</v>
      </c>
      <c r="I132" s="40" t="s">
        <v>42</v>
      </c>
      <c r="J132" s="39" t="s">
        <v>41</v>
      </c>
      <c r="R132" s="31"/>
      <c r="S132" s="38"/>
      <c r="T132" s="31"/>
    </row>
    <row r="133" spans="1:38" ht="27.75" customHeight="1" x14ac:dyDescent="0.5">
      <c r="A133" s="216" t="s">
        <v>40</v>
      </c>
      <c r="B133" s="36">
        <v>1.5</v>
      </c>
      <c r="C133" s="36">
        <v>0.4</v>
      </c>
      <c r="D133" s="36">
        <v>0.7</v>
      </c>
      <c r="E133" s="37">
        <v>10</v>
      </c>
      <c r="F133" s="36">
        <v>0.35</v>
      </c>
      <c r="G133" s="36" t="s">
        <v>39</v>
      </c>
      <c r="H133" s="36" t="s">
        <v>38</v>
      </c>
      <c r="I133" s="36" t="s">
        <v>37</v>
      </c>
      <c r="J133" s="36" t="s">
        <v>36</v>
      </c>
      <c r="R133" s="31"/>
      <c r="S133" s="31"/>
      <c r="T133" s="31"/>
    </row>
    <row r="134" spans="1:38" x14ac:dyDescent="0.5">
      <c r="M134" s="31"/>
      <c r="R134" s="35"/>
      <c r="S134" s="35"/>
      <c r="T134" s="35"/>
    </row>
    <row r="135" spans="1:38" x14ac:dyDescent="0.5">
      <c r="M135" s="31"/>
      <c r="R135" s="31"/>
      <c r="S135" s="31"/>
      <c r="T135" s="31"/>
    </row>
    <row r="136" spans="1:38" x14ac:dyDescent="0.5">
      <c r="M136" s="31"/>
      <c r="R136" s="31"/>
      <c r="S136" s="31"/>
      <c r="T136" s="31"/>
    </row>
    <row r="137" spans="1:38" x14ac:dyDescent="0.5">
      <c r="M137" s="31"/>
      <c r="R137" s="31"/>
      <c r="S137" s="31"/>
      <c r="T137" s="31"/>
    </row>
    <row r="138" spans="1:38" x14ac:dyDescent="0.5">
      <c r="M138" s="31"/>
      <c r="R138" s="34"/>
      <c r="S138" s="34"/>
      <c r="T138" s="34"/>
    </row>
    <row r="139" spans="1:38" x14ac:dyDescent="0.5">
      <c r="M139" s="31"/>
    </row>
    <row r="140" spans="1:38" ht="27.75" customHeight="1" x14ac:dyDescent="0.5"/>
    <row r="141" spans="1:38" x14ac:dyDescent="0.5">
      <c r="N141" s="30"/>
    </row>
    <row r="142" spans="1:38" x14ac:dyDescent="0.5">
      <c r="N142" s="30"/>
    </row>
    <row r="143" spans="1:38" x14ac:dyDescent="0.5">
      <c r="N143" s="30"/>
    </row>
    <row r="144" spans="1:38" x14ac:dyDescent="0.5">
      <c r="A144" s="33"/>
      <c r="B144" s="33" t="s">
        <v>35</v>
      </c>
      <c r="C144" s="33"/>
      <c r="D144" s="33"/>
      <c r="E144" s="33"/>
      <c r="F144" s="33"/>
      <c r="G144" s="33"/>
      <c r="H144" s="33"/>
      <c r="I144" s="33"/>
      <c r="J144" s="32"/>
      <c r="K144" s="32"/>
      <c r="L144" s="31"/>
      <c r="M144" s="31"/>
      <c r="N144" s="30"/>
      <c r="O144" s="29"/>
      <c r="P144" s="29"/>
      <c r="Q144" s="29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</row>
  </sheetData>
  <mergeCells count="50">
    <mergeCell ref="G116:H116"/>
    <mergeCell ref="G131:H131"/>
    <mergeCell ref="B130:F130"/>
    <mergeCell ref="G130:J130"/>
    <mergeCell ref="B116:F116"/>
    <mergeCell ref="I116:J116"/>
    <mergeCell ref="B131:F131"/>
    <mergeCell ref="I131:J131"/>
    <mergeCell ref="I62:J62"/>
    <mergeCell ref="G62:H62"/>
    <mergeCell ref="B100:F100"/>
    <mergeCell ref="G100:J100"/>
    <mergeCell ref="B89:F89"/>
    <mergeCell ref="I89:J89"/>
    <mergeCell ref="B88:F88"/>
    <mergeCell ref="B75:F75"/>
    <mergeCell ref="I75:J75"/>
    <mergeCell ref="G75:H75"/>
    <mergeCell ref="G89:H89"/>
    <mergeCell ref="B7:F7"/>
    <mergeCell ref="B21:F21"/>
    <mergeCell ref="I21:J21"/>
    <mergeCell ref="B34:F34"/>
    <mergeCell ref="I34:J34"/>
    <mergeCell ref="B8:F8"/>
    <mergeCell ref="B20:F20"/>
    <mergeCell ref="B33:F33"/>
    <mergeCell ref="G8:H8"/>
    <mergeCell ref="I8:J8"/>
    <mergeCell ref="G7:J7"/>
    <mergeCell ref="G21:H21"/>
    <mergeCell ref="G34:H34"/>
    <mergeCell ref="G20:J20"/>
    <mergeCell ref="G33:J33"/>
    <mergeCell ref="B115:F115"/>
    <mergeCell ref="G115:J115"/>
    <mergeCell ref="B47:F47"/>
    <mergeCell ref="B61:F61"/>
    <mergeCell ref="B101:F101"/>
    <mergeCell ref="I101:J101"/>
    <mergeCell ref="B48:F48"/>
    <mergeCell ref="I48:J48"/>
    <mergeCell ref="G48:H48"/>
    <mergeCell ref="G47:J47"/>
    <mergeCell ref="G101:H101"/>
    <mergeCell ref="B74:F74"/>
    <mergeCell ref="G61:J61"/>
    <mergeCell ref="G74:J74"/>
    <mergeCell ref="G88:J88"/>
    <mergeCell ref="B62:F62"/>
  </mergeCells>
  <pageMargins left="0" right="0" top="0" bottom="0" header="0" footer="0"/>
  <pageSetup paperSize="9" scale="27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"/>
  <sheetViews>
    <sheetView workbookViewId="0">
      <selection activeCell="A2" sqref="A2:A3"/>
    </sheetView>
  </sheetViews>
  <sheetFormatPr defaultColWidth="8.81640625" defaultRowHeight="14.5" x14ac:dyDescent="0.35"/>
  <cols>
    <col min="1" max="1" width="12.6328125" bestFit="1" customWidth="1"/>
    <col min="3" max="3" width="15.1796875" bestFit="1" customWidth="1"/>
  </cols>
  <sheetData>
    <row r="1" spans="1:3" x14ac:dyDescent="0.35">
      <c r="A1" s="71" t="s">
        <v>118</v>
      </c>
      <c r="C1" s="71" t="s">
        <v>136</v>
      </c>
    </row>
    <row r="2" spans="1:3" x14ac:dyDescent="0.35">
      <c r="A2" s="83" t="s">
        <v>114</v>
      </c>
      <c r="C2" t="s">
        <v>135</v>
      </c>
    </row>
    <row r="3" spans="1:3" x14ac:dyDescent="0.35">
      <c r="A3" s="83" t="s">
        <v>115</v>
      </c>
      <c r="C3" t="s">
        <v>132</v>
      </c>
    </row>
    <row r="4" spans="1:3" x14ac:dyDescent="0.35">
      <c r="C4" t="s">
        <v>133</v>
      </c>
    </row>
    <row r="5" spans="1:3" x14ac:dyDescent="0.35">
      <c r="C5" t="s">
        <v>134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5</vt:i4>
      </vt:variant>
    </vt:vector>
  </HeadingPairs>
  <TitlesOfParts>
    <vt:vector size="11" baseType="lpstr">
      <vt:lpstr>Dati in input</vt:lpstr>
      <vt:lpstr>Autofinanziamento</vt:lpstr>
      <vt:lpstr>Prezzi smart adaptive lighting</vt:lpstr>
      <vt:lpstr>Prezzi servizi "smart"</vt:lpstr>
      <vt:lpstr>Dettaglio strade (ENEA)</vt:lpstr>
      <vt:lpstr>Foglio 1</vt:lpstr>
      <vt:lpstr>'Dettaglio strade (ENEA)'!Area_stampa</vt:lpstr>
      <vt:lpstr>manut</vt:lpstr>
      <vt:lpstr>Nome</vt:lpstr>
      <vt:lpstr>pacchetti</vt:lpstr>
      <vt:lpstr>software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Melinda</dc:creator>
  <cp:lastModifiedBy>Marco</cp:lastModifiedBy>
  <dcterms:created xsi:type="dcterms:W3CDTF">2017-05-20T10:01:32Z</dcterms:created>
  <dcterms:modified xsi:type="dcterms:W3CDTF">2018-10-24T17:28:54Z</dcterms:modified>
</cp:coreProperties>
</file>